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Projects" sheetId="2" r:id="rId6"/>
    <sheet state="visible" name="Budget_Plan" sheetId="3" r:id="rId7"/>
    <sheet state="visible" name="Contracts" sheetId="4" r:id="rId8"/>
    <sheet state="visible" name="Certificates" sheetId="5" r:id="rId9"/>
    <sheet state="visible" name="Summary_Year" sheetId="6" r:id="rId10"/>
    <sheet state="visible" name="Monthly" sheetId="7" r:id="rId11"/>
  </sheets>
  <definedNames/>
  <calcPr fullCalcOnLoad="1"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">
      <text>
        <t xml:space="preserve">How much of the contract value is expected to be delivered (actuals) in each calendar year. This is what makes a multi-year contract count against the right annual budget.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4">
      <text>
        <t xml:space="preserve">Negative = more has been committed for this year than the approved budget (over-commitment).</t>
      </text>
    </comment>
  </commentList>
</comments>
</file>

<file path=xl/sharedStrings.xml><?xml version="1.0" encoding="utf-8"?>
<sst xmlns="http://schemas.openxmlformats.org/spreadsheetml/2006/main" count="472" uniqueCount="222">
  <si>
    <t>Portfolio budget tracker: budget, committed and actuals by month (sample)</t>
  </si>
  <si>
    <t>Project ID</t>
  </si>
  <si>
    <t>All amounts in EUR, VAT included. Sample data: the projects, people and vendors are fictional. From Sideshore, makers of Ledgerman for Jira: sideshore.tech/ledgerman</t>
  </si>
  <si>
    <t>Sheet</t>
  </si>
  <si>
    <t>What it holds</t>
  </si>
  <si>
    <t>Projects</t>
  </si>
  <si>
    <t>Master list of portfolio projects, each linked to its Jira project key.</t>
  </si>
  <si>
    <t>Budget_Plan</t>
  </si>
  <si>
    <t>Approved budget: one row per project per calendar year, phased by month. Input.</t>
  </si>
  <si>
    <t>Contracts</t>
  </si>
  <si>
    <t>Signed contracts. Contract value plus its annual phasing (how much falls into each calendar year). Actuals to date and open balance are calculated.</t>
  </si>
  <si>
    <t>Certificates</t>
  </si>
  <si>
    <t>Acceptance certificates posted against contracts, one row per certificate. Input. Project, year and month are calculated.</t>
  </si>
  <si>
    <t>Summary_Year</t>
  </si>
  <si>
    <t>Pick a year (yellow cell). Per project: Budget vs Committed vs Actuals, uncommitted budget, open commitment, utilisation and % committed.</t>
  </si>
  <si>
    <t>Monthly</t>
  </si>
  <si>
    <t>Pick a year (yellow cell). Per project, month by month: Budget, Actuals, Variance and cumulative utilisation.</t>
  </si>
  <si>
    <t>Jira key</t>
  </si>
  <si>
    <t>Contract No</t>
  </si>
  <si>
    <t>Project name</t>
  </si>
  <si>
    <t>Colour legend</t>
  </si>
  <si>
    <t>Project manager</t>
  </si>
  <si>
    <t>Year</t>
  </si>
  <si>
    <t>Status</t>
  </si>
  <si>
    <t>Blue text</t>
  </si>
  <si>
    <t>Vendor</t>
  </si>
  <si>
    <t>Jan</t>
  </si>
  <si>
    <t>Subject</t>
  </si>
  <si>
    <t>Feb</t>
  </si>
  <si>
    <t>P-01</t>
  </si>
  <si>
    <t>Signed</t>
  </si>
  <si>
    <t>Typed-in input. Edit these.</t>
  </si>
  <si>
    <t>Mar</t>
  </si>
  <si>
    <t>Start</t>
  </si>
  <si>
    <t>Black text</t>
  </si>
  <si>
    <t>End</t>
  </si>
  <si>
    <t>Formula. Don't overwrite.</t>
  </si>
  <si>
    <t>Apr</t>
  </si>
  <si>
    <t>Contract total</t>
  </si>
  <si>
    <t>May</t>
  </si>
  <si>
    <t>Green text</t>
  </si>
  <si>
    <t>CRM</t>
  </si>
  <si>
    <t>Jun</t>
  </si>
  <si>
    <t>CRM modernisation</t>
  </si>
  <si>
    <t>Formula pulling from another sheet.</t>
  </si>
  <si>
    <t>Jul</t>
  </si>
  <si>
    <t>A. Lee</t>
  </si>
  <si>
    <t>In progress</t>
  </si>
  <si>
    <t>Aug</t>
  </si>
  <si>
    <t>P-02</t>
  </si>
  <si>
    <t>Yellow fill</t>
  </si>
  <si>
    <t>Sep</t>
  </si>
  <si>
    <t>DWH</t>
  </si>
  <si>
    <t>Oct</t>
  </si>
  <si>
    <t>Data warehouse</t>
  </si>
  <si>
    <t>Nov</t>
  </si>
  <si>
    <t>M. Novak</t>
  </si>
  <si>
    <t>Dec</t>
  </si>
  <si>
    <t>Of which 2025</t>
  </si>
  <si>
    <t>P-03</t>
  </si>
  <si>
    <t>Year total</t>
  </si>
  <si>
    <t>Of which 2026</t>
  </si>
  <si>
    <t>MOB</t>
  </si>
  <si>
    <t>Mobile banking app</t>
  </si>
  <si>
    <t>Selector / key input (the reporting year).</t>
  </si>
  <si>
    <t>K. Tamm</t>
  </si>
  <si>
    <t>Of which 2027</t>
  </si>
  <si>
    <t>Red fill</t>
  </si>
  <si>
    <t>2025</t>
  </si>
  <si>
    <t>Annual phasing check</t>
  </si>
  <si>
    <t>Check failed: annual phasing ≠ contract value, or actuals exceed contract value.</t>
  </si>
  <si>
    <t>Actuals to date</t>
  </si>
  <si>
    <t>P-04</t>
  </si>
  <si>
    <t>ERP</t>
  </si>
  <si>
    <t>To add data</t>
  </si>
  <si>
    <t>Open balance</t>
  </si>
  <si>
    <t>ERP finance module</t>
  </si>
  <si>
    <t>Add a row in Contracts or Certificates and copy the formulas down from the row above. Use the first rows of each sheet as the format example.</t>
  </si>
  <si>
    <t>S. Berg</t>
  </si>
  <si>
    <t>% delivered</t>
  </si>
  <si>
    <t>Planning</t>
  </si>
  <si>
    <t>P-05</t>
  </si>
  <si>
    <t>D-2025/014</t>
  </si>
  <si>
    <t>SEC</t>
  </si>
  <si>
    <t>Information security upgrade</t>
  </si>
  <si>
    <t>L. Martin</t>
  </si>
  <si>
    <t>Alpha Integration Ltd</t>
  </si>
  <si>
    <t>CRM implementation, phase 1</t>
  </si>
  <si>
    <t>2026</t>
  </si>
  <si>
    <t>2027</t>
  </si>
  <si>
    <t>D-2025/031</t>
  </si>
  <si>
    <t>CRM implementation, phase 2</t>
  </si>
  <si>
    <t>D-2025/008</t>
  </si>
  <si>
    <t>Beta Data Services Ltd</t>
  </si>
  <si>
    <t>DWH platform build</t>
  </si>
  <si>
    <t>D-2026/002</t>
  </si>
  <si>
    <t>Gamma Licensing Ltd</t>
  </si>
  <si>
    <t>DWH licences &amp; support</t>
  </si>
  <si>
    <t>Certificate No</t>
  </si>
  <si>
    <t>Certificate date</t>
  </si>
  <si>
    <t>Period</t>
  </si>
  <si>
    <t>Comment</t>
  </si>
  <si>
    <t>Amount</t>
  </si>
  <si>
    <t>Month</t>
  </si>
  <si>
    <t>008-01</t>
  </si>
  <si>
    <t>Feb 2025</t>
  </si>
  <si>
    <t>Works accepted for period</t>
  </si>
  <si>
    <t>D-2025/019</t>
  </si>
  <si>
    <t>Delta Mobile Studio</t>
  </si>
  <si>
    <t>Mobile app MVP</t>
  </si>
  <si>
    <t>D-2026/011</t>
  </si>
  <si>
    <t>Mobile app release 2</t>
  </si>
  <si>
    <t>D-2026/020</t>
  </si>
  <si>
    <t>Epsilon ERP Partners</t>
  </si>
  <si>
    <t>ERP finance blueprint</t>
  </si>
  <si>
    <t>Portfolio budget summary for year:</t>
  </si>
  <si>
    <t>008-02</t>
  </si>
  <si>
    <t>Mar 2025</t>
  </si>
  <si>
    <t>D-2025/022</t>
  </si>
  <si>
    <t>Zeta Security Ltd</t>
  </si>
  <si>
    <t>DLP rollout</t>
  </si>
  <si>
    <t>014-01</t>
  </si>
  <si>
    <t>EUR. Change the yellow cell to switch year.</t>
  </si>
  <si>
    <t>Annual budget</t>
  </si>
  <si>
    <t>Committed for year</t>
  </si>
  <si>
    <t>Actuals in year</t>
  </si>
  <si>
    <t>Uncommitted budget
(budget − committed)</t>
  </si>
  <si>
    <t>D-2026/015</t>
  </si>
  <si>
    <t>Open commitment
(committed − actuals)</t>
  </si>
  <si>
    <t>Utilisation
(actuals / budget)</t>
  </si>
  <si>
    <t>Eta Security Reseller</t>
  </si>
  <si>
    <t>% committed
(committed / budget)</t>
  </si>
  <si>
    <t>SIEM licences</t>
  </si>
  <si>
    <t>008-03</t>
  </si>
  <si>
    <t>Apr 2025</t>
  </si>
  <si>
    <t>Total</t>
  </si>
  <si>
    <t>014-02</t>
  </si>
  <si>
    <t>008-04</t>
  </si>
  <si>
    <t>May 2025</t>
  </si>
  <si>
    <t>014-03</t>
  </si>
  <si>
    <t>019-01</t>
  </si>
  <si>
    <t>008-05</t>
  </si>
  <si>
    <t>Jun 2025</t>
  </si>
  <si>
    <t>014-04</t>
  </si>
  <si>
    <t>019-02</t>
  </si>
  <si>
    <t>022-01</t>
  </si>
  <si>
    <t>008-06</t>
  </si>
  <si>
    <t>Jul 2025</t>
  </si>
  <si>
    <t>014-05</t>
  </si>
  <si>
    <t>019-03</t>
  </si>
  <si>
    <t>008-07</t>
  </si>
  <si>
    <t>Aug 2025</t>
  </si>
  <si>
    <t>014-06</t>
  </si>
  <si>
    <t>019-04</t>
  </si>
  <si>
    <t>008-08</t>
  </si>
  <si>
    <t>Sep 2025</t>
  </si>
  <si>
    <t>Monthly budget vs actuals for year:</t>
  </si>
  <si>
    <t>014-07</t>
  </si>
  <si>
    <t>019-05</t>
  </si>
  <si>
    <t>EUR. Year follows Summary_Year!D1.</t>
  </si>
  <si>
    <t>Metric</t>
  </si>
  <si>
    <t>022-02</t>
  </si>
  <si>
    <t>Budget</t>
  </si>
  <si>
    <t>008-09</t>
  </si>
  <si>
    <t>Oct 2025</t>
  </si>
  <si>
    <t>014-08</t>
  </si>
  <si>
    <t>019-06</t>
  </si>
  <si>
    <t>008-10</t>
  </si>
  <si>
    <t>Nov 2025</t>
  </si>
  <si>
    <t>014-09</t>
  </si>
  <si>
    <t>019-07</t>
  </si>
  <si>
    <t>008-11</t>
  </si>
  <si>
    <t>Dec 2025</t>
  </si>
  <si>
    <t>014-10</t>
  </si>
  <si>
    <t>019-08</t>
  </si>
  <si>
    <t>Portfolio total</t>
  </si>
  <si>
    <t>022-03</t>
  </si>
  <si>
    <t>008-12</t>
  </si>
  <si>
    <t>Jan 2026</t>
  </si>
  <si>
    <t>019-09</t>
  </si>
  <si>
    <t>031-01</t>
  </si>
  <si>
    <t>Actuals</t>
  </si>
  <si>
    <t>008-13</t>
  </si>
  <si>
    <t>Feb 2026</t>
  </si>
  <si>
    <t>019-10</t>
  </si>
  <si>
    <t>031-02</t>
  </si>
  <si>
    <t>008-14</t>
  </si>
  <si>
    <t>Mar 2026</t>
  </si>
  <si>
    <t>019-11</t>
  </si>
  <si>
    <t>022-04</t>
  </si>
  <si>
    <t>031-03</t>
  </si>
  <si>
    <t>002-01</t>
  </si>
  <si>
    <t>008-15</t>
  </si>
  <si>
    <t>Apr 2026</t>
  </si>
  <si>
    <t>031-04</t>
  </si>
  <si>
    <t>008-16</t>
  </si>
  <si>
    <t>May 2026</t>
  </si>
  <si>
    <t>Variance (actuals − budget)</t>
  </si>
  <si>
    <t>031-05</t>
  </si>
  <si>
    <t>008-17</t>
  </si>
  <si>
    <t>Jun 2026</t>
  </si>
  <si>
    <t>022-05</t>
  </si>
  <si>
    <t>Cumulative utilisation %</t>
  </si>
  <si>
    <t>031-06</t>
  </si>
  <si>
    <t>002-02</t>
  </si>
  <si>
    <t>008-18</t>
  </si>
  <si>
    <t>Jul 2026</t>
  </si>
  <si>
    <t>031-07</t>
  </si>
  <si>
    <t>008-19</t>
  </si>
  <si>
    <t>Aug 2026</t>
  </si>
  <si>
    <t>031-08</t>
  </si>
  <si>
    <t>011-01</t>
  </si>
  <si>
    <t>015-01</t>
  </si>
  <si>
    <t>008-20</t>
  </si>
  <si>
    <t>Sep 2026</t>
  </si>
  <si>
    <t>031-09</t>
  </si>
  <si>
    <t>002-03</t>
  </si>
  <si>
    <t>020-01</t>
  </si>
  <si>
    <t>008-21</t>
  </si>
  <si>
    <t>Oct 2026</t>
  </si>
  <si>
    <t>031-10</t>
  </si>
  <si>
    <t>Portfolio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</si>
</sst>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\(#,##0\);\-"/>
    <numFmt numFmtId="165" formatCode="dd\.mm\.yyyy"/>
    <numFmt numFmtId="166" formatCode="0.0%;\(0.0%\);\-"/>
  </numFmts>
  <fonts count="11">
    <font>
      <sz val="11.0"/>
      <color theme="1"/>
      <name val="Calibri"/>
      <scheme val="minor"/>
    </font>
    <font>
      <b/>
      <sz val="14.0"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FFFFFF"/>
      <name val="Arial"/>
    </font>
    <font>
      <sz val="11.0"/>
      <color rgb="FF0000FF"/>
      <name val="Arial"/>
    </font>
    <font>
      <sz val="11.0"/>
      <color rgb="FF008000"/>
      <name val="Arial"/>
    </font>
    <font>
      <b/>
      <sz val="12.0"/>
      <color theme="1"/>
      <name val="Arial"/>
    </font>
    <font>
      <b/>
      <sz val="12.0"/>
      <color rgb="FF0000FF"/>
      <name val="Arial"/>
    </font>
    <font>
      <i/>
      <sz val="11.0"/>
      <color rgb="FF808080"/>
      <name val="Arial"/>
    </font>
    <font>
      <b/>
      <sz val="12.0"/>
      <color rgb="FF008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FFFF00"/>
        <bgColor rgb="FFFFFF00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DDEBF7"/>
        <bgColor rgb="FFDDEBF7"/>
      </patternFill>
    </fill>
  </fills>
  <borders count="3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2" fillId="3" fontId="3" numFmtId="0" xfId="0" applyAlignment="1" applyBorder="1" applyFill="1" applyFont="1">
      <alignment shrinkToFit="0" vertical="bottom" wrapText="0"/>
    </xf>
    <xf borderId="2" fillId="4" fontId="3" numFmtId="0" xfId="0" applyAlignment="1" applyBorder="1" applyFill="1" applyFont="1">
      <alignment shrinkToFit="0" vertical="bottom" wrapText="0"/>
    </xf>
    <xf borderId="1" fillId="0" fontId="5" numFmtId="164" xfId="0" applyAlignment="1" applyBorder="1" applyFont="1" applyNumberFormat="1">
      <alignment shrinkToFit="0" vertical="bottom" wrapText="0"/>
    </xf>
    <xf borderId="1" fillId="0" fontId="5" numFmtId="165" xfId="0" applyAlignment="1" applyBorder="1" applyFont="1" applyNumberFormat="1">
      <alignment shrinkToFit="0" vertical="bottom" wrapText="0"/>
    </xf>
    <xf borderId="1" fillId="5" fontId="2" numFmtId="164" xfId="0" applyAlignment="1" applyBorder="1" applyFill="1" applyFont="1" applyNumberForma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6" numFmtId="164" xfId="0" applyAlignment="1" applyBorder="1" applyFont="1" applyNumberFormat="1">
      <alignment shrinkToFit="0" vertical="bottom" wrapText="0"/>
    </xf>
    <xf borderId="1" fillId="0" fontId="2" numFmtId="164" xfId="0" applyAlignment="1" applyBorder="1" applyFont="1" applyNumberFormat="1">
      <alignment shrinkToFit="0" vertical="bottom" wrapText="0"/>
    </xf>
    <xf borderId="1" fillId="0" fontId="2" numFmtId="166" xfId="0" applyAlignment="1" applyBorder="1" applyFont="1" applyNumberForma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2" fillId="3" fontId="8" numFmtId="0" xfId="0" applyAlignment="1" applyBorder="1" applyFill="1" applyFont="1">
      <alignment readingOrder="0" shrinkToFit="0" vertical="bottom" wrapText="0"/>
    </xf>
    <xf borderId="0" fillId="0" fontId="9" numFmtId="0" xfId="0" applyAlignment="1" applyFont="1">
      <alignment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1" fillId="5" fontId="2" numFmtId="0" xfId="0" applyAlignment="1" applyBorder="1" applyFill="1" applyFont="1">
      <alignment shrinkToFit="0" vertical="bottom" wrapText="0"/>
    </xf>
    <xf borderId="1" fillId="5" fontId="3" numFmtId="164" xfId="0" applyAlignment="1" applyBorder="1" applyFill="1" applyFont="1" applyNumberFormat="1">
      <alignment shrinkToFit="0" vertical="bottom" wrapText="0"/>
    </xf>
    <xf borderId="1" fillId="5" fontId="3" numFmtId="166" xfId="0" applyAlignment="1" applyBorder="1" applyFill="1" applyFont="1" applyNumberFormat="1">
      <alignment shrinkToFit="0" vertical="bottom" wrapText="0"/>
    </xf>
    <xf borderId="2" fillId="3" fontId="10" numFmtId="0" xfId="0" applyAlignment="1" applyBorder="1" applyFill="1" applyFont="1">
      <alignment shrinkToFit="0" vertical="bottom" wrapText="0"/>
    </xf>
    <xf borderId="1" fillId="6" fontId="6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shrinkToFit="0" vertical="bottom" wrapText="0"/>
    </xf>
    <xf borderId="1" fillId="6" fontId="6" numFmtId="164" xfId="0" applyAlignment="1" applyBorder="1" applyFill="1" applyFont="1" applyNumberFormat="1">
      <alignment shrinkToFit="0" vertical="bottom" wrapText="0"/>
    </xf>
    <xf borderId="1" fillId="6" fontId="3" numFmtId="164" xfId="0" applyAlignment="1" applyBorder="1" applyFill="1" applyFont="1" applyNumberFormat="1">
      <alignment shrinkToFit="0" vertical="bottom" wrapText="0"/>
    </xf>
    <xf borderId="1" fillId="0" fontId="3" numFmtId="164" xfId="0" applyAlignment="1" applyBorder="1" applyFont="1" applyNumberFormat="1">
      <alignment shrinkToFit="0" vertical="bottom" wrapText="0"/>
    </xf>
    <xf borderId="1" fillId="0" fontId="3" numFmtId="166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2">
    <dxf>
      <font/>
      <fill>
        <patternFill patternType="solid">
          <fgColor rgb="FFFFC7CE"/>
          <bgColor rgb="FFFFC7CE"/>
        </patternFill>
      </fill>
      <border/>
    </dxf>
    <dxf>
      <font>
        <color rgb="FFC00000"/>
        <name val="Arial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2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4.0"/>
    <col customWidth="1" min="2" max="2" width="100.0"/>
    <col customWidth="1" min="3" max="26" width="8.71"/>
  </cols>
  <sheetData>
    <row r="1">
      <c r="A1" s="1" t="s">
        <v>0</v>
      </c>
    </row>
    <row r="2">
      <c r="A2" s="2" t="s">
        <v>2</v>
      </c>
    </row>
    <row r="3">
      <c r="A3" s="2"/>
    </row>
    <row r="4">
      <c r="A4" s="3" t="s">
        <v>3</v>
      </c>
      <c r="B4" s="3" t="s">
        <v>4</v>
      </c>
    </row>
    <row r="5">
      <c r="A5" s="3" t="s">
        <v>5</v>
      </c>
      <c r="B5" s="2" t="s">
        <v>6</v>
      </c>
    </row>
    <row r="6">
      <c r="A6" s="3" t="s">
        <v>7</v>
      </c>
      <c r="B6" s="2" t="s">
        <v>8</v>
      </c>
    </row>
    <row r="7">
      <c r="A7" s="3" t="s">
        <v>9</v>
      </c>
      <c r="B7" s="2" t="s">
        <v>10</v>
      </c>
    </row>
    <row r="8">
      <c r="A8" s="3" t="s">
        <v>11</v>
      </c>
      <c r="B8" s="2" t="s">
        <v>12</v>
      </c>
    </row>
    <row r="9">
      <c r="A9" s="3" t="s">
        <v>13</v>
      </c>
      <c r="B9" s="2" t="s">
        <v>14</v>
      </c>
    </row>
    <row r="10">
      <c r="A10" s="3" t="s">
        <v>15</v>
      </c>
      <c r="B10" s="2" t="s">
        <v>16</v>
      </c>
    </row>
    <row r="11">
      <c r="A11" s="2"/>
    </row>
    <row r="12">
      <c r="A12" s="3" t="s">
        <v>20</v>
      </c>
      <c r="B12" s="2"/>
    </row>
    <row r="13">
      <c r="A13" s="5" t="s">
        <v>24</v>
      </c>
      <c r="B13" s="2" t="s">
        <v>31</v>
      </c>
    </row>
    <row r="14">
      <c r="A14" s="2" t="s">
        <v>34</v>
      </c>
      <c r="B14" s="2" t="s">
        <v>36</v>
      </c>
    </row>
    <row r="15">
      <c r="A15" s="7" t="s">
        <v>40</v>
      </c>
      <c r="B15" s="2" t="s">
        <v>44</v>
      </c>
    </row>
    <row r="16">
      <c r="A16" s="8" t="s">
        <v>50</v>
      </c>
      <c r="B16" s="2" t="s">
        <v>64</v>
      </c>
    </row>
    <row r="17">
      <c r="A17" s="9" t="s">
        <v>67</v>
      </c>
      <c r="B17" s="2" t="s">
        <v>70</v>
      </c>
    </row>
    <row r="18">
      <c r="A18" s="2"/>
    </row>
    <row r="19">
      <c r="A19" s="3" t="s">
        <v>74</v>
      </c>
      <c r="B19" s="2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10.0"/>
    <col customWidth="1" min="3" max="3" width="32.0"/>
    <col customWidth="1" min="4" max="4" width="18.0"/>
    <col customWidth="1" min="5" max="5" width="14.0"/>
    <col customWidth="1" min="6" max="26" width="8.71"/>
  </cols>
  <sheetData>
    <row r="1" ht="31.5" customHeight="1">
      <c r="A1" s="4" t="s">
        <v>1</v>
      </c>
      <c r="B1" s="4" t="s">
        <v>17</v>
      </c>
      <c r="C1" s="4" t="s">
        <v>19</v>
      </c>
      <c r="D1" s="4" t="s">
        <v>21</v>
      </c>
      <c r="E1" s="4" t="s">
        <v>23</v>
      </c>
    </row>
    <row r="2">
      <c r="A2" s="6" t="s">
        <v>29</v>
      </c>
      <c r="B2" s="6" t="s">
        <v>41</v>
      </c>
      <c r="C2" s="6" t="s">
        <v>43</v>
      </c>
      <c r="D2" s="6" t="s">
        <v>46</v>
      </c>
      <c r="E2" s="6" t="s">
        <v>47</v>
      </c>
    </row>
    <row r="3">
      <c r="A3" s="6" t="s">
        <v>49</v>
      </c>
      <c r="B3" s="6" t="s">
        <v>52</v>
      </c>
      <c r="C3" s="6" t="s">
        <v>54</v>
      </c>
      <c r="D3" s="6" t="s">
        <v>56</v>
      </c>
      <c r="E3" s="6" t="s">
        <v>47</v>
      </c>
    </row>
    <row r="4">
      <c r="A4" s="6" t="s">
        <v>59</v>
      </c>
      <c r="B4" s="6" t="s">
        <v>62</v>
      </c>
      <c r="C4" s="6" t="s">
        <v>63</v>
      </c>
      <c r="D4" s="6" t="s">
        <v>65</v>
      </c>
      <c r="E4" s="6" t="s">
        <v>47</v>
      </c>
    </row>
    <row r="5">
      <c r="A5" s="6" t="s">
        <v>72</v>
      </c>
      <c r="B5" s="6" t="s">
        <v>73</v>
      </c>
      <c r="C5" s="6" t="s">
        <v>76</v>
      </c>
      <c r="D5" s="6" t="s">
        <v>78</v>
      </c>
      <c r="E5" s="6" t="s">
        <v>80</v>
      </c>
    </row>
    <row r="6">
      <c r="A6" s="6" t="s">
        <v>81</v>
      </c>
      <c r="B6" s="6" t="s">
        <v>83</v>
      </c>
      <c r="C6" s="6" t="s">
        <v>84</v>
      </c>
      <c r="D6" s="6" t="s">
        <v>85</v>
      </c>
      <c r="E6" s="6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12.0"/>
    <col customWidth="1" min="2" max="2" width="8.0"/>
    <col customWidth="1" min="3" max="14" width="10.0"/>
    <col customWidth="1" min="15" max="15" width="13.0"/>
    <col customWidth="1" min="16" max="26" width="8.71"/>
  </cols>
  <sheetData>
    <row r="1" ht="31.5" customHeight="1">
      <c r="A1" s="4" t="s">
        <v>1</v>
      </c>
      <c r="B1" s="4" t="s">
        <v>22</v>
      </c>
      <c r="C1" s="4" t="s">
        <v>26</v>
      </c>
      <c r="D1" s="4" t="s">
        <v>28</v>
      </c>
      <c r="E1" s="4" t="s">
        <v>32</v>
      </c>
      <c r="F1" s="4" t="s">
        <v>37</v>
      </c>
      <c r="G1" s="4" t="s">
        <v>39</v>
      </c>
      <c r="H1" s="4" t="s">
        <v>42</v>
      </c>
      <c r="I1" s="4" t="s">
        <v>45</v>
      </c>
      <c r="J1" s="4" t="s">
        <v>48</v>
      </c>
      <c r="K1" s="4" t="s">
        <v>51</v>
      </c>
      <c r="L1" s="4" t="s">
        <v>53</v>
      </c>
      <c r="M1" s="4" t="s">
        <v>55</v>
      </c>
      <c r="N1" s="4" t="s">
        <v>57</v>
      </c>
      <c r="O1" s="4" t="s">
        <v>60</v>
      </c>
    </row>
    <row r="2">
      <c r="A2" s="6" t="s">
        <v>29</v>
      </c>
      <c r="B2" s="6" t="s">
        <v>68</v>
      </c>
      <c r="C2" s="10">
        <v>72000</v>
      </c>
      <c r="D2" s="10">
        <v>108000</v>
      </c>
      <c r="E2" s="10">
        <v>144000</v>
      </c>
      <c r="F2" s="10">
        <v>144000</v>
      </c>
      <c r="G2" s="10">
        <v>162000</v>
      </c>
      <c r="H2" s="10">
        <v>162000</v>
      </c>
      <c r="I2" s="10">
        <v>144000</v>
      </c>
      <c r="J2" s="10">
        <v>144000</v>
      </c>
      <c r="K2" s="10">
        <v>162000</v>
      </c>
      <c r="L2" s="10">
        <v>162000</v>
      </c>
      <c r="M2" s="10">
        <v>180000</v>
      </c>
      <c r="N2" s="10">
        <v>216000</v>
      </c>
      <c r="O2" s="12">
        <f t="shared" ref="O2:O16" si="1">SUM(C2:N2)</f>
        <v>1800000</v>
      </c>
    </row>
    <row r="3">
      <c r="A3" s="6" t="s">
        <v>29</v>
      </c>
      <c r="B3" s="6" t="s">
        <v>88</v>
      </c>
      <c r="C3" s="10">
        <v>96000</v>
      </c>
      <c r="D3" s="10">
        <v>144000</v>
      </c>
      <c r="E3" s="10">
        <v>192000</v>
      </c>
      <c r="F3" s="10">
        <v>192000</v>
      </c>
      <c r="G3" s="10">
        <v>216000</v>
      </c>
      <c r="H3" s="10">
        <v>216000</v>
      </c>
      <c r="I3" s="10">
        <v>192000</v>
      </c>
      <c r="J3" s="10">
        <v>192000</v>
      </c>
      <c r="K3" s="10">
        <v>216000</v>
      </c>
      <c r="L3" s="10">
        <v>216000</v>
      </c>
      <c r="M3" s="10">
        <v>240000</v>
      </c>
      <c r="N3" s="10">
        <v>288000</v>
      </c>
      <c r="O3" s="12">
        <f t="shared" si="1"/>
        <v>2400000</v>
      </c>
    </row>
    <row r="4">
      <c r="A4" s="6" t="s">
        <v>29</v>
      </c>
      <c r="B4" s="6" t="s">
        <v>89</v>
      </c>
      <c r="C4" s="10">
        <v>48000</v>
      </c>
      <c r="D4" s="10">
        <v>72000</v>
      </c>
      <c r="E4" s="10">
        <v>96000</v>
      </c>
      <c r="F4" s="10">
        <v>96000</v>
      </c>
      <c r="G4" s="10">
        <v>108000</v>
      </c>
      <c r="H4" s="10">
        <v>108000</v>
      </c>
      <c r="I4" s="10">
        <v>96000</v>
      </c>
      <c r="J4" s="10">
        <v>96000</v>
      </c>
      <c r="K4" s="10">
        <v>108000</v>
      </c>
      <c r="L4" s="10">
        <v>108000</v>
      </c>
      <c r="M4" s="10">
        <v>120000</v>
      </c>
      <c r="N4" s="10">
        <v>144000</v>
      </c>
      <c r="O4" s="12">
        <f t="shared" si="1"/>
        <v>1200000</v>
      </c>
    </row>
    <row r="5">
      <c r="A5" s="6" t="s">
        <v>49</v>
      </c>
      <c r="B5" s="6" t="s">
        <v>68</v>
      </c>
      <c r="C5" s="10">
        <v>120000</v>
      </c>
      <c r="D5" s="10">
        <v>180000</v>
      </c>
      <c r="E5" s="10">
        <v>240000</v>
      </c>
      <c r="F5" s="10">
        <v>240000</v>
      </c>
      <c r="G5" s="10">
        <v>270000</v>
      </c>
      <c r="H5" s="10">
        <v>270000</v>
      </c>
      <c r="I5" s="10">
        <v>240000</v>
      </c>
      <c r="J5" s="10">
        <v>240000</v>
      </c>
      <c r="K5" s="10">
        <v>270000</v>
      </c>
      <c r="L5" s="10">
        <v>270000</v>
      </c>
      <c r="M5" s="10">
        <v>300000</v>
      </c>
      <c r="N5" s="10">
        <v>360000</v>
      </c>
      <c r="O5" s="12">
        <f t="shared" si="1"/>
        <v>3000000</v>
      </c>
    </row>
    <row r="6">
      <c r="A6" s="6" t="s">
        <v>49</v>
      </c>
      <c r="B6" s="6" t="s">
        <v>88</v>
      </c>
      <c r="C6" s="10">
        <v>144000</v>
      </c>
      <c r="D6" s="10">
        <v>216000</v>
      </c>
      <c r="E6" s="10">
        <v>288000</v>
      </c>
      <c r="F6" s="10">
        <v>288000</v>
      </c>
      <c r="G6" s="10">
        <v>324000</v>
      </c>
      <c r="H6" s="10">
        <v>324000</v>
      </c>
      <c r="I6" s="10">
        <v>288000</v>
      </c>
      <c r="J6" s="10">
        <v>288000</v>
      </c>
      <c r="K6" s="10">
        <v>324000</v>
      </c>
      <c r="L6" s="10">
        <v>324000</v>
      </c>
      <c r="M6" s="10">
        <v>360000</v>
      </c>
      <c r="N6" s="10">
        <v>432000</v>
      </c>
      <c r="O6" s="12">
        <f t="shared" si="1"/>
        <v>3600000</v>
      </c>
    </row>
    <row r="7">
      <c r="A7" s="6" t="s">
        <v>49</v>
      </c>
      <c r="B7" s="6" t="s">
        <v>89</v>
      </c>
      <c r="C7" s="10">
        <v>80000</v>
      </c>
      <c r="D7" s="10">
        <v>120000</v>
      </c>
      <c r="E7" s="10">
        <v>160000</v>
      </c>
      <c r="F7" s="10">
        <v>160000</v>
      </c>
      <c r="G7" s="10">
        <v>180000</v>
      </c>
      <c r="H7" s="10">
        <v>180000</v>
      </c>
      <c r="I7" s="10">
        <v>160000</v>
      </c>
      <c r="J7" s="10">
        <v>160000</v>
      </c>
      <c r="K7" s="10">
        <v>180000</v>
      </c>
      <c r="L7" s="10">
        <v>180000</v>
      </c>
      <c r="M7" s="10">
        <v>200000</v>
      </c>
      <c r="N7" s="10">
        <v>240000</v>
      </c>
      <c r="O7" s="12">
        <f t="shared" si="1"/>
        <v>2000000</v>
      </c>
    </row>
    <row r="8">
      <c r="A8" s="6" t="s">
        <v>59</v>
      </c>
      <c r="B8" s="6" t="s">
        <v>68</v>
      </c>
      <c r="C8" s="10">
        <v>48000</v>
      </c>
      <c r="D8" s="10">
        <v>72000</v>
      </c>
      <c r="E8" s="10">
        <v>96000</v>
      </c>
      <c r="F8" s="10">
        <v>96000</v>
      </c>
      <c r="G8" s="10">
        <v>108000</v>
      </c>
      <c r="H8" s="10">
        <v>108000</v>
      </c>
      <c r="I8" s="10">
        <v>96000</v>
      </c>
      <c r="J8" s="10">
        <v>96000</v>
      </c>
      <c r="K8" s="10">
        <v>108000</v>
      </c>
      <c r="L8" s="10">
        <v>108000</v>
      </c>
      <c r="M8" s="10">
        <v>120000</v>
      </c>
      <c r="N8" s="10">
        <v>144000</v>
      </c>
      <c r="O8" s="12">
        <f t="shared" si="1"/>
        <v>1200000</v>
      </c>
    </row>
    <row r="9">
      <c r="A9" s="6" t="s">
        <v>59</v>
      </c>
      <c r="B9" s="6" t="s">
        <v>88</v>
      </c>
      <c r="C9" s="10">
        <v>80000</v>
      </c>
      <c r="D9" s="10">
        <v>120000</v>
      </c>
      <c r="E9" s="10">
        <v>160000</v>
      </c>
      <c r="F9" s="10">
        <v>160000</v>
      </c>
      <c r="G9" s="10">
        <v>180000</v>
      </c>
      <c r="H9" s="10">
        <v>180000</v>
      </c>
      <c r="I9" s="10">
        <v>160000</v>
      </c>
      <c r="J9" s="10">
        <v>160000</v>
      </c>
      <c r="K9" s="10">
        <v>180000</v>
      </c>
      <c r="L9" s="10">
        <v>180000</v>
      </c>
      <c r="M9" s="10">
        <v>200000</v>
      </c>
      <c r="N9" s="10">
        <v>240000</v>
      </c>
      <c r="O9" s="12">
        <f t="shared" si="1"/>
        <v>2000000</v>
      </c>
    </row>
    <row r="10">
      <c r="A10" s="6" t="s">
        <v>59</v>
      </c>
      <c r="B10" s="6" t="s">
        <v>89</v>
      </c>
      <c r="C10" s="10">
        <v>60000</v>
      </c>
      <c r="D10" s="10">
        <v>90000</v>
      </c>
      <c r="E10" s="10">
        <v>120000</v>
      </c>
      <c r="F10" s="10">
        <v>120000</v>
      </c>
      <c r="G10" s="10">
        <v>135000</v>
      </c>
      <c r="H10" s="10">
        <v>135000</v>
      </c>
      <c r="I10" s="10">
        <v>120000</v>
      </c>
      <c r="J10" s="10">
        <v>120000</v>
      </c>
      <c r="K10" s="10">
        <v>135000</v>
      </c>
      <c r="L10" s="10">
        <v>135000</v>
      </c>
      <c r="M10" s="10">
        <v>150000</v>
      </c>
      <c r="N10" s="10">
        <v>180000</v>
      </c>
      <c r="O10" s="12">
        <f t="shared" si="1"/>
        <v>1500000</v>
      </c>
    </row>
    <row r="11">
      <c r="A11" s="6" t="s">
        <v>72</v>
      </c>
      <c r="B11" s="6" t="s">
        <v>68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2">
        <f t="shared" si="1"/>
        <v>0</v>
      </c>
    </row>
    <row r="12">
      <c r="A12" s="6" t="s">
        <v>72</v>
      </c>
      <c r="B12" s="6" t="s">
        <v>88</v>
      </c>
      <c r="C12" s="10">
        <v>32000</v>
      </c>
      <c r="D12" s="10">
        <v>48000</v>
      </c>
      <c r="E12" s="10">
        <v>64000</v>
      </c>
      <c r="F12" s="10">
        <v>64000</v>
      </c>
      <c r="G12" s="10">
        <v>72000</v>
      </c>
      <c r="H12" s="10">
        <v>72000</v>
      </c>
      <c r="I12" s="10">
        <v>64000</v>
      </c>
      <c r="J12" s="10">
        <v>64000</v>
      </c>
      <c r="K12" s="10">
        <v>72000</v>
      </c>
      <c r="L12" s="10">
        <v>72000</v>
      </c>
      <c r="M12" s="10">
        <v>80000</v>
      </c>
      <c r="N12" s="10">
        <v>96000</v>
      </c>
      <c r="O12" s="12">
        <f t="shared" si="1"/>
        <v>800000</v>
      </c>
    </row>
    <row r="13">
      <c r="A13" s="6" t="s">
        <v>72</v>
      </c>
      <c r="B13" s="6" t="s">
        <v>89</v>
      </c>
      <c r="C13" s="10">
        <v>160000</v>
      </c>
      <c r="D13" s="10">
        <v>240000</v>
      </c>
      <c r="E13" s="10">
        <v>320000</v>
      </c>
      <c r="F13" s="10">
        <v>320000</v>
      </c>
      <c r="G13" s="10">
        <v>360000</v>
      </c>
      <c r="H13" s="10">
        <v>360000</v>
      </c>
      <c r="I13" s="10">
        <v>320000</v>
      </c>
      <c r="J13" s="10">
        <v>320000</v>
      </c>
      <c r="K13" s="10">
        <v>360000</v>
      </c>
      <c r="L13" s="10">
        <v>360000</v>
      </c>
      <c r="M13" s="10">
        <v>400000</v>
      </c>
      <c r="N13" s="10">
        <v>480000</v>
      </c>
      <c r="O13" s="12">
        <f t="shared" si="1"/>
        <v>4000000</v>
      </c>
    </row>
    <row r="14">
      <c r="A14" s="6" t="s">
        <v>81</v>
      </c>
      <c r="B14" s="6" t="s">
        <v>68</v>
      </c>
      <c r="C14" s="10">
        <v>36000</v>
      </c>
      <c r="D14" s="10">
        <v>54000</v>
      </c>
      <c r="E14" s="10">
        <v>72000</v>
      </c>
      <c r="F14" s="10">
        <v>72000</v>
      </c>
      <c r="G14" s="10">
        <v>81000</v>
      </c>
      <c r="H14" s="10">
        <v>81000</v>
      </c>
      <c r="I14" s="10">
        <v>72000</v>
      </c>
      <c r="J14" s="10">
        <v>72000</v>
      </c>
      <c r="K14" s="10">
        <v>81000</v>
      </c>
      <c r="L14" s="10">
        <v>81000</v>
      </c>
      <c r="M14" s="10">
        <v>90000</v>
      </c>
      <c r="N14" s="10">
        <v>108000</v>
      </c>
      <c r="O14" s="12">
        <f t="shared" si="1"/>
        <v>900000</v>
      </c>
    </row>
    <row r="15">
      <c r="A15" s="6" t="s">
        <v>81</v>
      </c>
      <c r="B15" s="6" t="s">
        <v>88</v>
      </c>
      <c r="C15" s="10">
        <v>56000</v>
      </c>
      <c r="D15" s="10">
        <v>84000</v>
      </c>
      <c r="E15" s="10">
        <v>112000</v>
      </c>
      <c r="F15" s="10">
        <v>112000</v>
      </c>
      <c r="G15" s="10">
        <v>126000</v>
      </c>
      <c r="H15" s="10">
        <v>126000</v>
      </c>
      <c r="I15" s="10">
        <v>112000</v>
      </c>
      <c r="J15" s="10">
        <v>112000</v>
      </c>
      <c r="K15" s="10">
        <v>126000</v>
      </c>
      <c r="L15" s="10">
        <v>126000</v>
      </c>
      <c r="M15" s="10">
        <v>140000</v>
      </c>
      <c r="N15" s="10">
        <v>168000</v>
      </c>
      <c r="O15" s="12">
        <f t="shared" si="1"/>
        <v>1400000</v>
      </c>
    </row>
    <row r="16">
      <c r="A16" s="6" t="s">
        <v>81</v>
      </c>
      <c r="B16" s="6" t="s">
        <v>89</v>
      </c>
      <c r="C16" s="10">
        <v>40000</v>
      </c>
      <c r="D16" s="10">
        <v>60000</v>
      </c>
      <c r="E16" s="10">
        <v>80000</v>
      </c>
      <c r="F16" s="10">
        <v>80000</v>
      </c>
      <c r="G16" s="10">
        <v>90000</v>
      </c>
      <c r="H16" s="10">
        <v>90000</v>
      </c>
      <c r="I16" s="10">
        <v>80000</v>
      </c>
      <c r="J16" s="10">
        <v>80000</v>
      </c>
      <c r="K16" s="10">
        <v>90000</v>
      </c>
      <c r="L16" s="10">
        <v>90000</v>
      </c>
      <c r="M16" s="10">
        <v>100000</v>
      </c>
      <c r="N16" s="10">
        <v>120000</v>
      </c>
      <c r="O16" s="12">
        <f t="shared" si="1"/>
        <v>1000000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4.0"/>
    <col customWidth="1" min="2" max="2" width="11.0"/>
    <col customWidth="1" min="3" max="3" width="20.0"/>
    <col customWidth="1" min="4" max="4" width="30.0"/>
    <col customWidth="1" min="5" max="7" width="11.0"/>
    <col customWidth="1" min="8" max="8" width="13.0"/>
    <col customWidth="1" min="9" max="12" width="12.0"/>
    <col customWidth="1" min="13" max="13" width="14.0"/>
    <col customWidth="1" min="14" max="14" width="13.0"/>
    <col customWidth="1" min="15" max="15" width="10.0"/>
    <col customWidth="1" min="16" max="26" width="8.71"/>
  </cols>
  <sheetData>
    <row r="1" ht="31.5" customHeight="1">
      <c r="A1" s="4" t="s">
        <v>18</v>
      </c>
      <c r="B1" s="4" t="s">
        <v>1</v>
      </c>
      <c r="C1" s="4" t="s">
        <v>25</v>
      </c>
      <c r="D1" s="4" t="s">
        <v>27</v>
      </c>
      <c r="E1" s="4" t="s">
        <v>30</v>
      </c>
      <c r="F1" s="4" t="s">
        <v>33</v>
      </c>
      <c r="G1" s="4" t="s">
        <v>35</v>
      </c>
      <c r="H1" s="4" t="s">
        <v>38</v>
      </c>
      <c r="I1" s="4" t="s">
        <v>58</v>
      </c>
      <c r="J1" s="4" t="s">
        <v>61</v>
      </c>
      <c r="K1" s="4" t="s">
        <v>66</v>
      </c>
      <c r="L1" s="4" t="s">
        <v>69</v>
      </c>
      <c r="M1" s="4" t="s">
        <v>71</v>
      </c>
      <c r="N1" s="4" t="s">
        <v>75</v>
      </c>
      <c r="O1" s="4" t="s">
        <v>79</v>
      </c>
    </row>
    <row r="2">
      <c r="A2" s="6" t="s">
        <v>82</v>
      </c>
      <c r="B2" s="6" t="s">
        <v>29</v>
      </c>
      <c r="C2" s="6" t="s">
        <v>86</v>
      </c>
      <c r="D2" s="6" t="s">
        <v>87</v>
      </c>
      <c r="E2" s="11">
        <v>45698.0</v>
      </c>
      <c r="F2" s="11">
        <v>45717.0</v>
      </c>
      <c r="G2" s="11">
        <v>46022.0</v>
      </c>
      <c r="H2" s="10">
        <v>1560000</v>
      </c>
      <c r="I2" s="10">
        <v>1560000</v>
      </c>
      <c r="J2" s="10">
        <v>0</v>
      </c>
      <c r="K2" s="10">
        <v>0</v>
      </c>
      <c r="L2" s="13" t="str">
        <f t="shared" ref="L2:L10" si="1">IF(SUM(I2:K2)=H2,"OK","Mismatch")</f>
        <v>OK</v>
      </c>
      <c r="M2" s="14">
        <f>SUMIFS(Certificates!$F$2:$F$200,Certificates!$A$2:$A$200,A2)</f>
        <v>1650000</v>
      </c>
      <c r="N2" s="15">
        <f t="shared" ref="N2:N10" si="2">H2-M2</f>
        <v>-90000</v>
      </c>
      <c r="O2" s="16">
        <f t="shared" ref="O2:O11" si="3">IF(H2=0,0,M2/H2)</f>
        <v>1.057692308</v>
      </c>
    </row>
    <row r="3">
      <c r="A3" s="6" t="s">
        <v>90</v>
      </c>
      <c r="B3" s="6" t="s">
        <v>29</v>
      </c>
      <c r="C3" s="6" t="s">
        <v>86</v>
      </c>
      <c r="D3" s="6" t="s">
        <v>91</v>
      </c>
      <c r="E3" s="11">
        <v>46006.0</v>
      </c>
      <c r="F3" s="11">
        <v>46023.0</v>
      </c>
      <c r="G3" s="11">
        <v>46568.0</v>
      </c>
      <c r="H3" s="10">
        <v>3000000</v>
      </c>
      <c r="I3" s="10">
        <v>0</v>
      </c>
      <c r="J3" s="10">
        <v>2100000</v>
      </c>
      <c r="K3" s="10">
        <v>900000</v>
      </c>
      <c r="L3" s="13" t="str">
        <f t="shared" si="1"/>
        <v>OK</v>
      </c>
      <c r="M3" s="14">
        <f>SUMIFS(Certificates!$F$2:$F$200,Certificates!$A$2:$A$200,A3)</f>
        <v>1714000</v>
      </c>
      <c r="N3" s="15">
        <f t="shared" si="2"/>
        <v>1286000</v>
      </c>
      <c r="O3" s="16">
        <f t="shared" si="3"/>
        <v>0.5713333333</v>
      </c>
    </row>
    <row r="4">
      <c r="A4" s="6" t="s">
        <v>92</v>
      </c>
      <c r="B4" s="6" t="s">
        <v>49</v>
      </c>
      <c r="C4" s="6" t="s">
        <v>93</v>
      </c>
      <c r="D4" s="6" t="s">
        <v>94</v>
      </c>
      <c r="E4" s="11">
        <v>45677.0</v>
      </c>
      <c r="F4" s="11">
        <v>45689.0</v>
      </c>
      <c r="G4" s="11">
        <v>46387.0</v>
      </c>
      <c r="H4" s="10">
        <v>5600000</v>
      </c>
      <c r="I4" s="10">
        <v>2600000</v>
      </c>
      <c r="J4" s="10">
        <v>3000000</v>
      </c>
      <c r="K4" s="10">
        <v>0</v>
      </c>
      <c r="L4" s="13" t="str">
        <f t="shared" si="1"/>
        <v>OK</v>
      </c>
      <c r="M4" s="14">
        <f>SUMIFS(Certificates!$F$2:$F$200,Certificates!$A$2:$A$200,A4)</f>
        <v>5158000</v>
      </c>
      <c r="N4" s="15">
        <f t="shared" si="2"/>
        <v>442000</v>
      </c>
      <c r="O4" s="16">
        <f t="shared" si="3"/>
        <v>0.9210714286</v>
      </c>
    </row>
    <row r="5">
      <c r="A5" s="6" t="s">
        <v>95</v>
      </c>
      <c r="B5" s="6" t="s">
        <v>49</v>
      </c>
      <c r="C5" s="6" t="s">
        <v>96</v>
      </c>
      <c r="D5" s="6" t="s">
        <v>97</v>
      </c>
      <c r="E5" s="11">
        <v>46047.0</v>
      </c>
      <c r="F5" s="11">
        <v>46054.0</v>
      </c>
      <c r="G5" s="11">
        <v>46418.0</v>
      </c>
      <c r="H5" s="10">
        <v>610000</v>
      </c>
      <c r="I5" s="10">
        <v>0</v>
      </c>
      <c r="J5" s="10">
        <v>550000</v>
      </c>
      <c r="K5" s="10">
        <v>60000</v>
      </c>
      <c r="L5" s="13" t="str">
        <f t="shared" si="1"/>
        <v>OK</v>
      </c>
      <c r="M5" s="14">
        <f>SUMIFS(Certificates!$F$2:$F$200,Certificates!$A$2:$A$200,A5)</f>
        <v>404000</v>
      </c>
      <c r="N5" s="15">
        <f t="shared" si="2"/>
        <v>206000</v>
      </c>
      <c r="O5" s="16">
        <f t="shared" si="3"/>
        <v>0.662295082</v>
      </c>
    </row>
    <row r="6">
      <c r="A6" s="6" t="s">
        <v>107</v>
      </c>
      <c r="B6" s="6" t="s">
        <v>59</v>
      </c>
      <c r="C6" s="6" t="s">
        <v>108</v>
      </c>
      <c r="D6" s="6" t="s">
        <v>109</v>
      </c>
      <c r="E6" s="11">
        <v>45752.0</v>
      </c>
      <c r="F6" s="11">
        <v>45778.0</v>
      </c>
      <c r="G6" s="11">
        <v>46112.0</v>
      </c>
      <c r="H6" s="10">
        <v>1470000</v>
      </c>
      <c r="I6" s="10">
        <v>1050000</v>
      </c>
      <c r="J6" s="10">
        <v>420000</v>
      </c>
      <c r="K6" s="10">
        <v>0</v>
      </c>
      <c r="L6" s="13" t="str">
        <f t="shared" si="1"/>
        <v>OK</v>
      </c>
      <c r="M6" s="14">
        <f>SUMIFS(Certificates!$F$2:$F$200,Certificates!$A$2:$A$200,A6)</f>
        <v>1470000</v>
      </c>
      <c r="N6" s="15">
        <f t="shared" si="2"/>
        <v>0</v>
      </c>
      <c r="O6" s="16">
        <f t="shared" si="3"/>
        <v>1</v>
      </c>
    </row>
    <row r="7">
      <c r="A7" s="6" t="s">
        <v>110</v>
      </c>
      <c r="B7" s="6" t="s">
        <v>59</v>
      </c>
      <c r="C7" s="6" t="s">
        <v>108</v>
      </c>
      <c r="D7" s="6" t="s">
        <v>111</v>
      </c>
      <c r="E7" s="11">
        <v>46101.0</v>
      </c>
      <c r="F7" s="11">
        <v>46113.0</v>
      </c>
      <c r="G7" s="11">
        <v>46387.0</v>
      </c>
      <c r="H7" s="10">
        <v>1350000</v>
      </c>
      <c r="I7" s="10">
        <v>0</v>
      </c>
      <c r="J7" s="10">
        <v>1350000</v>
      </c>
      <c r="K7" s="10">
        <v>0</v>
      </c>
      <c r="L7" s="13" t="str">
        <f t="shared" si="1"/>
        <v>OK</v>
      </c>
      <c r="M7" s="14">
        <f>SUMIFS(Certificates!$F$2:$F$200,Certificates!$A$2:$A$200,A7)</f>
        <v>765000</v>
      </c>
      <c r="N7" s="15">
        <f t="shared" si="2"/>
        <v>585000</v>
      </c>
      <c r="O7" s="16">
        <f t="shared" si="3"/>
        <v>0.5666666667</v>
      </c>
    </row>
    <row r="8">
      <c r="A8" s="6" t="s">
        <v>112</v>
      </c>
      <c r="B8" s="6" t="s">
        <v>72</v>
      </c>
      <c r="C8" s="6" t="s">
        <v>113</v>
      </c>
      <c r="D8" s="6" t="s">
        <v>114</v>
      </c>
      <c r="E8" s="11">
        <v>46174.0</v>
      </c>
      <c r="F8" s="11">
        <v>46204.0</v>
      </c>
      <c r="G8" s="11">
        <v>46752.0</v>
      </c>
      <c r="H8" s="10">
        <v>3400000</v>
      </c>
      <c r="I8" s="10">
        <v>0</v>
      </c>
      <c r="J8" s="10">
        <v>400000</v>
      </c>
      <c r="K8" s="10">
        <v>3000000</v>
      </c>
      <c r="L8" s="13" t="str">
        <f t="shared" si="1"/>
        <v>OK</v>
      </c>
      <c r="M8" s="14">
        <f>SUMIFS(Certificates!$F$2:$F$200,Certificates!$A$2:$A$200,A8)</f>
        <v>210000</v>
      </c>
      <c r="N8" s="15">
        <f t="shared" si="2"/>
        <v>3190000</v>
      </c>
      <c r="O8" s="16">
        <f t="shared" si="3"/>
        <v>0.06176470588</v>
      </c>
    </row>
    <row r="9">
      <c r="A9" s="6" t="s">
        <v>118</v>
      </c>
      <c r="B9" s="6" t="s">
        <v>81</v>
      </c>
      <c r="C9" s="6" t="s">
        <v>119</v>
      </c>
      <c r="D9" s="6" t="s">
        <v>120</v>
      </c>
      <c r="E9" s="11">
        <v>45789.0</v>
      </c>
      <c r="F9" s="11">
        <v>45809.0</v>
      </c>
      <c r="G9" s="11">
        <v>46203.0</v>
      </c>
      <c r="H9" s="10">
        <v>1320000</v>
      </c>
      <c r="I9" s="10">
        <v>720000</v>
      </c>
      <c r="J9" s="10">
        <v>600000</v>
      </c>
      <c r="K9" s="10">
        <v>0</v>
      </c>
      <c r="L9" s="13" t="str">
        <f t="shared" si="1"/>
        <v>OK</v>
      </c>
      <c r="M9" s="14">
        <f>SUMIFS(Certificates!$F$2:$F$200,Certificates!$A$2:$A$200,A9)</f>
        <v>1320000</v>
      </c>
      <c r="N9" s="15">
        <f t="shared" si="2"/>
        <v>0</v>
      </c>
      <c r="O9" s="16">
        <f t="shared" si="3"/>
        <v>1</v>
      </c>
    </row>
    <row r="10">
      <c r="A10" s="6" t="s">
        <v>127</v>
      </c>
      <c r="B10" s="6" t="s">
        <v>81</v>
      </c>
      <c r="C10" s="6" t="s">
        <v>130</v>
      </c>
      <c r="D10" s="6" t="s">
        <v>132</v>
      </c>
      <c r="E10" s="11">
        <v>46120.0</v>
      </c>
      <c r="F10" s="11">
        <v>46143.0</v>
      </c>
      <c r="G10" s="11">
        <v>46507.0</v>
      </c>
      <c r="H10" s="10">
        <v>950000</v>
      </c>
      <c r="I10" s="10">
        <v>0</v>
      </c>
      <c r="J10" s="10">
        <v>650000</v>
      </c>
      <c r="K10" s="10">
        <v>270000</v>
      </c>
      <c r="L10" s="13" t="str">
        <f t="shared" si="1"/>
        <v>Mismatch</v>
      </c>
      <c r="M10" s="14">
        <f>SUMIFS(Certificates!$F$2:$F$200,Certificates!$A$2:$A$200,A10)</f>
        <v>278000</v>
      </c>
      <c r="N10" s="15">
        <f t="shared" si="2"/>
        <v>672000</v>
      </c>
      <c r="O10" s="16">
        <f t="shared" si="3"/>
        <v>0.2926315789</v>
      </c>
    </row>
    <row r="11">
      <c r="A11" s="21" t="s">
        <v>135</v>
      </c>
      <c r="B11" s="22"/>
      <c r="C11" s="22"/>
      <c r="D11" s="22"/>
      <c r="E11" s="22"/>
      <c r="F11" s="22"/>
      <c r="G11" s="22"/>
      <c r="H11" s="23">
        <f t="shared" ref="H11:K11" si="4">SUM(H2:H10)</f>
        <v>19260000</v>
      </c>
      <c r="I11" s="23">
        <f t="shared" si="4"/>
        <v>5930000</v>
      </c>
      <c r="J11" s="23">
        <f t="shared" si="4"/>
        <v>9070000</v>
      </c>
      <c r="K11" s="23">
        <f t="shared" si="4"/>
        <v>4230000</v>
      </c>
      <c r="L11" s="22"/>
      <c r="M11" s="23">
        <f t="shared" ref="M11:N11" si="5">SUM(M2:M10)</f>
        <v>12969000</v>
      </c>
      <c r="N11" s="23">
        <f t="shared" si="5"/>
        <v>6291000</v>
      </c>
      <c r="O11" s="24">
        <f t="shared" si="3"/>
        <v>0.673364486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L2:L10">
    <cfRule type="cellIs" dxfId="0" priority="1" operator="equal">
      <formula>"Mismatch"</formula>
    </cfRule>
  </conditionalFormatting>
  <conditionalFormatting sqref="N2:N10">
    <cfRule type="cellIs" dxfId="0" priority="2" operator="lessThan">
      <formula>0</formula>
    </cfRule>
  </conditionalFormatting>
  <printOptions/>
  <pageMargins bottom="1.0" footer="0.0" header="0.0" left="0.75" right="0.75" top="1.0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4.0"/>
    <col customWidth="1" min="2" max="2" width="12.0"/>
    <col customWidth="1" min="3" max="3" width="11.0"/>
    <col customWidth="1" min="4" max="4" width="10.0"/>
    <col customWidth="1" min="5" max="5" width="30.0"/>
    <col customWidth="1" min="6" max="6" width="12.0"/>
    <col customWidth="1" min="7" max="7" width="11.0"/>
    <col customWidth="1" min="8" max="9" width="8.0"/>
    <col customWidth="1" min="10" max="26" width="8.71"/>
  </cols>
  <sheetData>
    <row r="1" ht="31.5" customHeight="1">
      <c r="A1" s="4" t="s">
        <v>18</v>
      </c>
      <c r="B1" s="4" t="s">
        <v>98</v>
      </c>
      <c r="C1" s="4" t="s">
        <v>99</v>
      </c>
      <c r="D1" s="4" t="s">
        <v>100</v>
      </c>
      <c r="E1" s="4" t="s">
        <v>101</v>
      </c>
      <c r="F1" s="4" t="s">
        <v>102</v>
      </c>
      <c r="G1" s="4" t="s">
        <v>1</v>
      </c>
      <c r="H1" s="4" t="s">
        <v>22</v>
      </c>
      <c r="I1" s="4" t="s">
        <v>103</v>
      </c>
    </row>
    <row r="2">
      <c r="A2" s="6" t="s">
        <v>92</v>
      </c>
      <c r="B2" s="6" t="s">
        <v>104</v>
      </c>
      <c r="C2" s="11">
        <v>45716.0</v>
      </c>
      <c r="D2" s="6" t="s">
        <v>105</v>
      </c>
      <c r="E2" s="6" t="s">
        <v>106</v>
      </c>
      <c r="F2" s="10">
        <v>214000</v>
      </c>
      <c r="G2" s="17" t="str">
        <f t="array" ref="G2">IFERROR(INDEX(Contracts!$B$2:$B$10,MATCH(A2,Contracts!$A$2:$A$10,0)),"Unknown contract")</f>
        <v>P-02</v>
      </c>
      <c r="H2" s="13">
        <f t="shared" ref="H2:H64" si="1">YEAR(C2)</f>
        <v>2025</v>
      </c>
      <c r="I2" s="13">
        <f t="shared" ref="I2:I64" si="2">MONTH(C2)</f>
        <v>2</v>
      </c>
    </row>
    <row r="3">
      <c r="A3" s="6" t="s">
        <v>92</v>
      </c>
      <c r="B3" s="6" t="s">
        <v>116</v>
      </c>
      <c r="C3" s="11">
        <v>45744.0</v>
      </c>
      <c r="D3" s="6" t="s">
        <v>117</v>
      </c>
      <c r="E3" s="6" t="s">
        <v>106</v>
      </c>
      <c r="F3" s="10">
        <v>242000</v>
      </c>
      <c r="G3" s="17" t="str">
        <f t="array" ref="G3">IFERROR(INDEX(Contracts!$B$2:$B$10,MATCH(A3,Contracts!$A$2:$A$10,0)),"Unknown contract")</f>
        <v>P-02</v>
      </c>
      <c r="H3" s="13">
        <f t="shared" si="1"/>
        <v>2025</v>
      </c>
      <c r="I3" s="13">
        <f t="shared" si="2"/>
        <v>3</v>
      </c>
    </row>
    <row r="4">
      <c r="A4" s="6" t="s">
        <v>82</v>
      </c>
      <c r="B4" s="6" t="s">
        <v>121</v>
      </c>
      <c r="C4" s="11">
        <v>45744.0</v>
      </c>
      <c r="D4" s="6" t="s">
        <v>117</v>
      </c>
      <c r="E4" s="6" t="s">
        <v>106</v>
      </c>
      <c r="F4" s="10">
        <v>148000</v>
      </c>
      <c r="G4" s="17" t="str">
        <f t="array" ref="G4">IFERROR(INDEX(Contracts!$B$2:$B$10,MATCH(A4,Contracts!$A$2:$A$10,0)),"Unknown contract")</f>
        <v>P-01</v>
      </c>
      <c r="H4" s="13">
        <f t="shared" si="1"/>
        <v>2025</v>
      </c>
      <c r="I4" s="13">
        <f t="shared" si="2"/>
        <v>3</v>
      </c>
    </row>
    <row r="5">
      <c r="A5" s="6" t="s">
        <v>92</v>
      </c>
      <c r="B5" s="6" t="s">
        <v>133</v>
      </c>
      <c r="C5" s="11">
        <v>45775.0</v>
      </c>
      <c r="D5" s="6" t="s">
        <v>134</v>
      </c>
      <c r="E5" s="6" t="s">
        <v>106</v>
      </c>
      <c r="F5" s="10">
        <v>246000</v>
      </c>
      <c r="G5" s="17" t="str">
        <f t="array" ref="G5">IFERROR(INDEX(Contracts!$B$2:$B$10,MATCH(A5,Contracts!$A$2:$A$10,0)),"Unknown contract")</f>
        <v>P-02</v>
      </c>
      <c r="H5" s="13">
        <f t="shared" si="1"/>
        <v>2025</v>
      </c>
      <c r="I5" s="13">
        <f t="shared" si="2"/>
        <v>4</v>
      </c>
    </row>
    <row r="6">
      <c r="A6" s="6" t="s">
        <v>82</v>
      </c>
      <c r="B6" s="6" t="s">
        <v>136</v>
      </c>
      <c r="C6" s="11">
        <v>45775.0</v>
      </c>
      <c r="D6" s="6" t="s">
        <v>134</v>
      </c>
      <c r="E6" s="6" t="s">
        <v>106</v>
      </c>
      <c r="F6" s="10">
        <v>140000</v>
      </c>
      <c r="G6" s="17" t="str">
        <f t="array" ref="G6">IFERROR(INDEX(Contracts!$B$2:$B$10,MATCH(A6,Contracts!$A$2:$A$10,0)),"Unknown contract")</f>
        <v>P-01</v>
      </c>
      <c r="H6" s="13">
        <f t="shared" si="1"/>
        <v>2025</v>
      </c>
      <c r="I6" s="13">
        <f t="shared" si="2"/>
        <v>4</v>
      </c>
    </row>
    <row r="7">
      <c r="A7" s="6" t="s">
        <v>92</v>
      </c>
      <c r="B7" s="6" t="s">
        <v>137</v>
      </c>
      <c r="C7" s="11">
        <v>45805.0</v>
      </c>
      <c r="D7" s="6" t="s">
        <v>138</v>
      </c>
      <c r="E7" s="6" t="s">
        <v>106</v>
      </c>
      <c r="F7" s="10">
        <v>227000</v>
      </c>
      <c r="G7" s="17" t="str">
        <f t="array" ref="G7">IFERROR(INDEX(Contracts!$B$2:$B$10,MATCH(A7,Contracts!$A$2:$A$10,0)),"Unknown contract")</f>
        <v>P-02</v>
      </c>
      <c r="H7" s="13">
        <f t="shared" si="1"/>
        <v>2025</v>
      </c>
      <c r="I7" s="13">
        <f t="shared" si="2"/>
        <v>5</v>
      </c>
    </row>
    <row r="8">
      <c r="A8" s="6" t="s">
        <v>82</v>
      </c>
      <c r="B8" s="6" t="s">
        <v>139</v>
      </c>
      <c r="C8" s="11">
        <v>45805.0</v>
      </c>
      <c r="D8" s="6" t="s">
        <v>138</v>
      </c>
      <c r="E8" s="6" t="s">
        <v>106</v>
      </c>
      <c r="F8" s="10">
        <v>163000</v>
      </c>
      <c r="G8" s="17" t="str">
        <f t="array" ref="G8">IFERROR(INDEX(Contracts!$B$2:$B$10,MATCH(A8,Contracts!$A$2:$A$10,0)),"Unknown contract")</f>
        <v>P-01</v>
      </c>
      <c r="H8" s="13">
        <f t="shared" si="1"/>
        <v>2025</v>
      </c>
      <c r="I8" s="13">
        <f t="shared" si="2"/>
        <v>5</v>
      </c>
    </row>
    <row r="9">
      <c r="A9" s="6" t="s">
        <v>107</v>
      </c>
      <c r="B9" s="6" t="s">
        <v>140</v>
      </c>
      <c r="C9" s="11">
        <v>45805.0</v>
      </c>
      <c r="D9" s="6" t="s">
        <v>138</v>
      </c>
      <c r="E9" s="6" t="s">
        <v>106</v>
      </c>
      <c r="F9" s="10">
        <v>113000</v>
      </c>
      <c r="G9" s="17" t="str">
        <f t="array" ref="G9">IFERROR(INDEX(Contracts!$B$2:$B$10,MATCH(A9,Contracts!$A$2:$A$10,0)),"Unknown contract")</f>
        <v>P-03</v>
      </c>
      <c r="H9" s="13">
        <f t="shared" si="1"/>
        <v>2025</v>
      </c>
      <c r="I9" s="13">
        <f t="shared" si="2"/>
        <v>5</v>
      </c>
    </row>
    <row r="10">
      <c r="A10" s="6" t="s">
        <v>92</v>
      </c>
      <c r="B10" s="6" t="s">
        <v>141</v>
      </c>
      <c r="C10" s="11">
        <v>45836.0</v>
      </c>
      <c r="D10" s="6" t="s">
        <v>142</v>
      </c>
      <c r="E10" s="6" t="s">
        <v>106</v>
      </c>
      <c r="F10" s="10">
        <v>240000</v>
      </c>
      <c r="G10" s="17" t="str">
        <f t="array" ref="G10">IFERROR(INDEX(Contracts!$B$2:$B$10,MATCH(A10,Contracts!$A$2:$A$10,0)),"Unknown contract")</f>
        <v>P-02</v>
      </c>
      <c r="H10" s="13">
        <f t="shared" si="1"/>
        <v>2025</v>
      </c>
      <c r="I10" s="13">
        <f t="shared" si="2"/>
        <v>6</v>
      </c>
    </row>
    <row r="11">
      <c r="A11" s="6" t="s">
        <v>82</v>
      </c>
      <c r="B11" s="6" t="s">
        <v>143</v>
      </c>
      <c r="C11" s="11">
        <v>45836.0</v>
      </c>
      <c r="D11" s="6" t="s">
        <v>142</v>
      </c>
      <c r="E11" s="6" t="s">
        <v>106</v>
      </c>
      <c r="F11" s="10">
        <v>136000</v>
      </c>
      <c r="G11" s="17" t="str">
        <f t="array" ref="G11">IFERROR(INDEX(Contracts!$B$2:$B$10,MATCH(A11,Contracts!$A$2:$A$10,0)),"Unknown contract")</f>
        <v>P-01</v>
      </c>
      <c r="H11" s="13">
        <f t="shared" si="1"/>
        <v>2025</v>
      </c>
      <c r="I11" s="13">
        <f t="shared" si="2"/>
        <v>6</v>
      </c>
    </row>
    <row r="12">
      <c r="A12" s="6" t="s">
        <v>107</v>
      </c>
      <c r="B12" s="6" t="s">
        <v>144</v>
      </c>
      <c r="C12" s="11">
        <v>45836.0</v>
      </c>
      <c r="D12" s="6" t="s">
        <v>142</v>
      </c>
      <c r="E12" s="6" t="s">
        <v>106</v>
      </c>
      <c r="F12" s="10">
        <v>138000</v>
      </c>
      <c r="G12" s="17" t="str">
        <f t="array" ref="G12">IFERROR(INDEX(Contracts!$B$2:$B$10,MATCH(A12,Contracts!$A$2:$A$10,0)),"Unknown contract")</f>
        <v>P-03</v>
      </c>
      <c r="H12" s="13">
        <f t="shared" si="1"/>
        <v>2025</v>
      </c>
      <c r="I12" s="13">
        <f t="shared" si="2"/>
        <v>6</v>
      </c>
    </row>
    <row r="13">
      <c r="A13" s="6" t="s">
        <v>118</v>
      </c>
      <c r="B13" s="6" t="s">
        <v>145</v>
      </c>
      <c r="C13" s="11">
        <v>45836.0</v>
      </c>
      <c r="D13" s="6" t="s">
        <v>142</v>
      </c>
      <c r="E13" s="6" t="s">
        <v>106</v>
      </c>
      <c r="F13" s="10">
        <v>276000</v>
      </c>
      <c r="G13" s="17" t="str">
        <f t="array" ref="G13">IFERROR(INDEX(Contracts!$B$2:$B$10,MATCH(A13,Contracts!$A$2:$A$10,0)),"Unknown contract")</f>
        <v>P-05</v>
      </c>
      <c r="H13" s="13">
        <f t="shared" si="1"/>
        <v>2025</v>
      </c>
      <c r="I13" s="13">
        <f t="shared" si="2"/>
        <v>6</v>
      </c>
    </row>
    <row r="14">
      <c r="A14" s="6" t="s">
        <v>92</v>
      </c>
      <c r="B14" s="6" t="s">
        <v>146</v>
      </c>
      <c r="C14" s="11">
        <v>45866.0</v>
      </c>
      <c r="D14" s="6" t="s">
        <v>147</v>
      </c>
      <c r="E14" s="6" t="s">
        <v>106</v>
      </c>
      <c r="F14" s="10">
        <v>205000</v>
      </c>
      <c r="G14" s="17" t="str">
        <f t="array" ref="G14">IFERROR(INDEX(Contracts!$B$2:$B$10,MATCH(A14,Contracts!$A$2:$A$10,0)),"Unknown contract")</f>
        <v>P-02</v>
      </c>
      <c r="H14" s="13">
        <f t="shared" si="1"/>
        <v>2025</v>
      </c>
      <c r="I14" s="13">
        <f t="shared" si="2"/>
        <v>7</v>
      </c>
    </row>
    <row r="15">
      <c r="A15" s="6" t="s">
        <v>82</v>
      </c>
      <c r="B15" s="6" t="s">
        <v>148</v>
      </c>
      <c r="C15" s="11">
        <v>45866.0</v>
      </c>
      <c r="D15" s="6" t="s">
        <v>147</v>
      </c>
      <c r="E15" s="6" t="s">
        <v>106</v>
      </c>
      <c r="F15" s="10">
        <v>158000</v>
      </c>
      <c r="G15" s="17" t="str">
        <f t="array" ref="G15">IFERROR(INDEX(Contracts!$B$2:$B$10,MATCH(A15,Contracts!$A$2:$A$10,0)),"Unknown contract")</f>
        <v>P-01</v>
      </c>
      <c r="H15" s="13">
        <f t="shared" si="1"/>
        <v>2025</v>
      </c>
      <c r="I15" s="13">
        <f t="shared" si="2"/>
        <v>7</v>
      </c>
    </row>
    <row r="16">
      <c r="A16" s="6" t="s">
        <v>107</v>
      </c>
      <c r="B16" s="6" t="s">
        <v>149</v>
      </c>
      <c r="C16" s="11">
        <v>45866.0</v>
      </c>
      <c r="D16" s="6" t="s">
        <v>147</v>
      </c>
      <c r="E16" s="6" t="s">
        <v>106</v>
      </c>
      <c r="F16" s="10">
        <v>142000</v>
      </c>
      <c r="G16" s="17" t="str">
        <f t="array" ref="G16">IFERROR(INDEX(Contracts!$B$2:$B$10,MATCH(A16,Contracts!$A$2:$A$10,0)),"Unknown contract")</f>
        <v>P-03</v>
      </c>
      <c r="H16" s="13">
        <f t="shared" si="1"/>
        <v>2025</v>
      </c>
      <c r="I16" s="13">
        <f t="shared" si="2"/>
        <v>7</v>
      </c>
    </row>
    <row r="17">
      <c r="A17" s="6" t="s">
        <v>92</v>
      </c>
      <c r="B17" s="6" t="s">
        <v>150</v>
      </c>
      <c r="C17" s="11">
        <v>45897.0</v>
      </c>
      <c r="D17" s="6" t="s">
        <v>151</v>
      </c>
      <c r="E17" s="6" t="s">
        <v>106</v>
      </c>
      <c r="F17" s="10">
        <v>205000</v>
      </c>
      <c r="G17" s="17" t="str">
        <f t="array" ref="G17">IFERROR(INDEX(Contracts!$B$2:$B$10,MATCH(A17,Contracts!$A$2:$A$10,0)),"Unknown contract")</f>
        <v>P-02</v>
      </c>
      <c r="H17" s="13">
        <f t="shared" si="1"/>
        <v>2025</v>
      </c>
      <c r="I17" s="13">
        <f t="shared" si="2"/>
        <v>8</v>
      </c>
    </row>
    <row r="18">
      <c r="A18" s="6" t="s">
        <v>82</v>
      </c>
      <c r="B18" s="6" t="s">
        <v>152</v>
      </c>
      <c r="C18" s="11">
        <v>45897.0</v>
      </c>
      <c r="D18" s="6" t="s">
        <v>151</v>
      </c>
      <c r="E18" s="6" t="s">
        <v>106</v>
      </c>
      <c r="F18" s="10">
        <v>150000</v>
      </c>
      <c r="G18" s="17" t="str">
        <f t="array" ref="G18">IFERROR(INDEX(Contracts!$B$2:$B$10,MATCH(A18,Contracts!$A$2:$A$10,0)),"Unknown contract")</f>
        <v>P-01</v>
      </c>
      <c r="H18" s="13">
        <f t="shared" si="1"/>
        <v>2025</v>
      </c>
      <c r="I18" s="13">
        <f t="shared" si="2"/>
        <v>8</v>
      </c>
    </row>
    <row r="19">
      <c r="A19" s="6" t="s">
        <v>107</v>
      </c>
      <c r="B19" s="6" t="s">
        <v>153</v>
      </c>
      <c r="C19" s="11">
        <v>45897.0</v>
      </c>
      <c r="D19" s="6" t="s">
        <v>151</v>
      </c>
      <c r="E19" s="6" t="s">
        <v>106</v>
      </c>
      <c r="F19" s="10">
        <v>134000</v>
      </c>
      <c r="G19" s="17" t="str">
        <f t="array" ref="G19">IFERROR(INDEX(Contracts!$B$2:$B$10,MATCH(A19,Contracts!$A$2:$A$10,0)),"Unknown contract")</f>
        <v>P-03</v>
      </c>
      <c r="H19" s="13">
        <f t="shared" si="1"/>
        <v>2025</v>
      </c>
      <c r="I19" s="13">
        <f t="shared" si="2"/>
        <v>8</v>
      </c>
    </row>
    <row r="20">
      <c r="A20" s="6" t="s">
        <v>92</v>
      </c>
      <c r="B20" s="6" t="s">
        <v>154</v>
      </c>
      <c r="C20" s="11">
        <v>45928.0</v>
      </c>
      <c r="D20" s="6" t="s">
        <v>155</v>
      </c>
      <c r="E20" s="6" t="s">
        <v>106</v>
      </c>
      <c r="F20" s="10">
        <v>216000</v>
      </c>
      <c r="G20" s="17" t="str">
        <f t="array" ref="G20">IFERROR(INDEX(Contracts!$B$2:$B$10,MATCH(A20,Contracts!$A$2:$A$10,0)),"Unknown contract")</f>
        <v>P-02</v>
      </c>
      <c r="H20" s="13">
        <f t="shared" si="1"/>
        <v>2025</v>
      </c>
      <c r="I20" s="13">
        <f t="shared" si="2"/>
        <v>9</v>
      </c>
    </row>
    <row r="21" ht="15.75" customHeight="1">
      <c r="A21" s="6" t="s">
        <v>82</v>
      </c>
      <c r="B21" s="6" t="s">
        <v>157</v>
      </c>
      <c r="C21" s="11">
        <v>45928.0</v>
      </c>
      <c r="D21" s="6" t="s">
        <v>155</v>
      </c>
      <c r="E21" s="6" t="s">
        <v>106</v>
      </c>
      <c r="F21" s="10">
        <v>135000</v>
      </c>
      <c r="G21" s="17" t="str">
        <f t="array" ref="G21">IFERROR(INDEX(Contracts!$B$2:$B$10,MATCH(A21,Contracts!$A$2:$A$10,0)),"Unknown contract")</f>
        <v>P-01</v>
      </c>
      <c r="H21" s="13">
        <f t="shared" si="1"/>
        <v>2025</v>
      </c>
      <c r="I21" s="13">
        <f t="shared" si="2"/>
        <v>9</v>
      </c>
    </row>
    <row r="22" ht="15.75" customHeight="1">
      <c r="A22" s="6" t="s">
        <v>107</v>
      </c>
      <c r="B22" s="6" t="s">
        <v>158</v>
      </c>
      <c r="C22" s="11">
        <v>45928.0</v>
      </c>
      <c r="D22" s="6" t="s">
        <v>155</v>
      </c>
      <c r="E22" s="6" t="s">
        <v>106</v>
      </c>
      <c r="F22" s="10">
        <v>146000</v>
      </c>
      <c r="G22" s="17" t="str">
        <f t="array" ref="G22">IFERROR(INDEX(Contracts!$B$2:$B$10,MATCH(A22,Contracts!$A$2:$A$10,0)),"Unknown contract")</f>
        <v>P-03</v>
      </c>
      <c r="H22" s="13">
        <f t="shared" si="1"/>
        <v>2025</v>
      </c>
      <c r="I22" s="13">
        <f t="shared" si="2"/>
        <v>9</v>
      </c>
    </row>
    <row r="23" ht="15.75" customHeight="1">
      <c r="A23" s="6" t="s">
        <v>118</v>
      </c>
      <c r="B23" s="6" t="s">
        <v>161</v>
      </c>
      <c r="C23" s="11">
        <v>45928.0</v>
      </c>
      <c r="D23" s="6" t="s">
        <v>155</v>
      </c>
      <c r="E23" s="6" t="s">
        <v>106</v>
      </c>
      <c r="F23" s="10">
        <v>263000</v>
      </c>
      <c r="G23" s="17" t="str">
        <f t="array" ref="G23">IFERROR(INDEX(Contracts!$B$2:$B$10,MATCH(A23,Contracts!$A$2:$A$10,0)),"Unknown contract")</f>
        <v>P-05</v>
      </c>
      <c r="H23" s="13">
        <f t="shared" si="1"/>
        <v>2025</v>
      </c>
      <c r="I23" s="13">
        <f t="shared" si="2"/>
        <v>9</v>
      </c>
    </row>
    <row r="24" ht="15.75" customHeight="1">
      <c r="A24" s="6" t="s">
        <v>92</v>
      </c>
      <c r="B24" s="6" t="s">
        <v>163</v>
      </c>
      <c r="C24" s="11">
        <v>45958.0</v>
      </c>
      <c r="D24" s="6" t="s">
        <v>164</v>
      </c>
      <c r="E24" s="6" t="s">
        <v>106</v>
      </c>
      <c r="F24" s="10">
        <v>249000</v>
      </c>
      <c r="G24" s="17" t="str">
        <f t="array" ref="G24">IFERROR(INDEX(Contracts!$B$2:$B$10,MATCH(A24,Contracts!$A$2:$A$10,0)),"Unknown contract")</f>
        <v>P-02</v>
      </c>
      <c r="H24" s="13">
        <f t="shared" si="1"/>
        <v>2025</v>
      </c>
      <c r="I24" s="13">
        <f t="shared" si="2"/>
        <v>10</v>
      </c>
    </row>
    <row r="25" ht="15.75" customHeight="1">
      <c r="A25" s="6" t="s">
        <v>82</v>
      </c>
      <c r="B25" s="6" t="s">
        <v>165</v>
      </c>
      <c r="C25" s="11">
        <v>45958.0</v>
      </c>
      <c r="D25" s="6" t="s">
        <v>164</v>
      </c>
      <c r="E25" s="6" t="s">
        <v>106</v>
      </c>
      <c r="F25" s="10">
        <v>156000</v>
      </c>
      <c r="G25" s="17" t="str">
        <f t="array" ref="G25">IFERROR(INDEX(Contracts!$B$2:$B$10,MATCH(A25,Contracts!$A$2:$A$10,0)),"Unknown contract")</f>
        <v>P-01</v>
      </c>
      <c r="H25" s="13">
        <f t="shared" si="1"/>
        <v>2025</v>
      </c>
      <c r="I25" s="13">
        <f t="shared" si="2"/>
        <v>10</v>
      </c>
    </row>
    <row r="26" ht="15.75" customHeight="1">
      <c r="A26" s="6" t="s">
        <v>107</v>
      </c>
      <c r="B26" s="6" t="s">
        <v>166</v>
      </c>
      <c r="C26" s="11">
        <v>45958.0</v>
      </c>
      <c r="D26" s="6" t="s">
        <v>164</v>
      </c>
      <c r="E26" s="6" t="s">
        <v>106</v>
      </c>
      <c r="F26" s="10">
        <v>124000</v>
      </c>
      <c r="G26" s="17" t="str">
        <f t="array" ref="G26">IFERROR(INDEX(Contracts!$B$2:$B$10,MATCH(A26,Contracts!$A$2:$A$10,0)),"Unknown contract")</f>
        <v>P-03</v>
      </c>
      <c r="H26" s="13">
        <f t="shared" si="1"/>
        <v>2025</v>
      </c>
      <c r="I26" s="13">
        <f t="shared" si="2"/>
        <v>10</v>
      </c>
    </row>
    <row r="27" ht="15.75" customHeight="1">
      <c r="A27" s="6" t="s">
        <v>92</v>
      </c>
      <c r="B27" s="6" t="s">
        <v>167</v>
      </c>
      <c r="C27" s="11">
        <v>45989.0</v>
      </c>
      <c r="D27" s="6" t="s">
        <v>168</v>
      </c>
      <c r="E27" s="6" t="s">
        <v>106</v>
      </c>
      <c r="F27" s="10">
        <v>231000</v>
      </c>
      <c r="G27" s="17" t="str">
        <f t="array" ref="G27">IFERROR(INDEX(Contracts!$B$2:$B$10,MATCH(A27,Contracts!$A$2:$A$10,0)),"Unknown contract")</f>
        <v>P-02</v>
      </c>
      <c r="H27" s="13">
        <f t="shared" si="1"/>
        <v>2025</v>
      </c>
      <c r="I27" s="13">
        <f t="shared" si="2"/>
        <v>11</v>
      </c>
    </row>
    <row r="28" ht="15.75" customHeight="1">
      <c r="A28" s="6" t="s">
        <v>82</v>
      </c>
      <c r="B28" s="6" t="s">
        <v>169</v>
      </c>
      <c r="C28" s="11">
        <v>45989.0</v>
      </c>
      <c r="D28" s="6" t="s">
        <v>168</v>
      </c>
      <c r="E28" s="6" t="s">
        <v>106</v>
      </c>
      <c r="F28" s="10">
        <v>134000</v>
      </c>
      <c r="G28" s="17" t="str">
        <f t="array" ref="G28">IFERROR(INDEX(Contracts!$B$2:$B$10,MATCH(A28,Contracts!$A$2:$A$10,0)),"Unknown contract")</f>
        <v>P-01</v>
      </c>
      <c r="H28" s="13">
        <f t="shared" si="1"/>
        <v>2025</v>
      </c>
      <c r="I28" s="13">
        <f t="shared" si="2"/>
        <v>11</v>
      </c>
    </row>
    <row r="29" ht="15.75" customHeight="1">
      <c r="A29" s="6" t="s">
        <v>107</v>
      </c>
      <c r="B29" s="6" t="s">
        <v>170</v>
      </c>
      <c r="C29" s="11">
        <v>45989.0</v>
      </c>
      <c r="D29" s="6" t="s">
        <v>168</v>
      </c>
      <c r="E29" s="6" t="s">
        <v>106</v>
      </c>
      <c r="F29" s="10">
        <v>139000</v>
      </c>
      <c r="G29" s="17" t="str">
        <f t="array" ref="G29">IFERROR(INDEX(Contracts!$B$2:$B$10,MATCH(A29,Contracts!$A$2:$A$10,0)),"Unknown contract")</f>
        <v>P-03</v>
      </c>
      <c r="H29" s="13">
        <f t="shared" si="1"/>
        <v>2025</v>
      </c>
      <c r="I29" s="13">
        <f t="shared" si="2"/>
        <v>11</v>
      </c>
    </row>
    <row r="30" ht="15.75" customHeight="1">
      <c r="A30" s="6" t="s">
        <v>92</v>
      </c>
      <c r="B30" s="6" t="s">
        <v>171</v>
      </c>
      <c r="C30" s="11">
        <v>46019.0</v>
      </c>
      <c r="D30" s="6" t="s">
        <v>172</v>
      </c>
      <c r="E30" s="6" t="s">
        <v>106</v>
      </c>
      <c r="F30" s="10">
        <v>325000</v>
      </c>
      <c r="G30" s="17" t="str">
        <f t="array" ref="G30">IFERROR(INDEX(Contracts!$B$2:$B$10,MATCH(A30,Contracts!$A$2:$A$10,0)),"Unknown contract")</f>
        <v>P-02</v>
      </c>
      <c r="H30" s="13">
        <f t="shared" si="1"/>
        <v>2025</v>
      </c>
      <c r="I30" s="13">
        <f t="shared" si="2"/>
        <v>12</v>
      </c>
    </row>
    <row r="31" ht="15.75" customHeight="1">
      <c r="A31" s="6" t="s">
        <v>82</v>
      </c>
      <c r="B31" s="6" t="s">
        <v>173</v>
      </c>
      <c r="C31" s="11">
        <v>46019.0</v>
      </c>
      <c r="D31" s="6" t="s">
        <v>172</v>
      </c>
      <c r="E31" s="6" t="s">
        <v>106</v>
      </c>
      <c r="F31" s="10">
        <v>330000</v>
      </c>
      <c r="G31" s="17" t="str">
        <f t="array" ref="G31">IFERROR(INDEX(Contracts!$B$2:$B$10,MATCH(A31,Contracts!$A$2:$A$10,0)),"Unknown contract")</f>
        <v>P-01</v>
      </c>
      <c r="H31" s="13">
        <f t="shared" si="1"/>
        <v>2025</v>
      </c>
      <c r="I31" s="13">
        <f t="shared" si="2"/>
        <v>12</v>
      </c>
    </row>
    <row r="32" ht="15.75" customHeight="1">
      <c r="A32" s="6" t="s">
        <v>107</v>
      </c>
      <c r="B32" s="6" t="s">
        <v>174</v>
      </c>
      <c r="C32" s="11">
        <v>46019.0</v>
      </c>
      <c r="D32" s="6" t="s">
        <v>172</v>
      </c>
      <c r="E32" s="6" t="s">
        <v>106</v>
      </c>
      <c r="F32" s="10">
        <v>114000</v>
      </c>
      <c r="G32" s="17" t="str">
        <f t="array" ref="G32">IFERROR(INDEX(Contracts!$B$2:$B$10,MATCH(A32,Contracts!$A$2:$A$10,0)),"Unknown contract")</f>
        <v>P-03</v>
      </c>
      <c r="H32" s="13">
        <f t="shared" si="1"/>
        <v>2025</v>
      </c>
      <c r="I32" s="13">
        <f t="shared" si="2"/>
        <v>12</v>
      </c>
    </row>
    <row r="33" ht="15.75" customHeight="1">
      <c r="A33" s="6" t="s">
        <v>118</v>
      </c>
      <c r="B33" s="6" t="s">
        <v>176</v>
      </c>
      <c r="C33" s="11">
        <v>46019.0</v>
      </c>
      <c r="D33" s="6" t="s">
        <v>172</v>
      </c>
      <c r="E33" s="6" t="s">
        <v>106</v>
      </c>
      <c r="F33" s="10">
        <v>181000</v>
      </c>
      <c r="G33" s="17" t="str">
        <f t="array" ref="G33">IFERROR(INDEX(Contracts!$B$2:$B$10,MATCH(A33,Contracts!$A$2:$A$10,0)),"Unknown contract")</f>
        <v>P-05</v>
      </c>
      <c r="H33" s="13">
        <f t="shared" si="1"/>
        <v>2025</v>
      </c>
      <c r="I33" s="13">
        <f t="shared" si="2"/>
        <v>12</v>
      </c>
    </row>
    <row r="34" ht="15.75" customHeight="1">
      <c r="A34" s="6" t="s">
        <v>92</v>
      </c>
      <c r="B34" s="6" t="s">
        <v>177</v>
      </c>
      <c r="C34" s="11">
        <v>46050.0</v>
      </c>
      <c r="D34" s="6" t="s">
        <v>178</v>
      </c>
      <c r="E34" s="6" t="s">
        <v>106</v>
      </c>
      <c r="F34" s="10">
        <v>256000</v>
      </c>
      <c r="G34" s="17" t="str">
        <f t="array" ref="G34">IFERROR(INDEX(Contracts!$B$2:$B$10,MATCH(A34,Contracts!$A$2:$A$10,0)),"Unknown contract")</f>
        <v>P-02</v>
      </c>
      <c r="H34" s="13">
        <f t="shared" si="1"/>
        <v>2026</v>
      </c>
      <c r="I34" s="13">
        <f t="shared" si="2"/>
        <v>1</v>
      </c>
    </row>
    <row r="35" ht="15.75" customHeight="1">
      <c r="A35" s="6" t="s">
        <v>107</v>
      </c>
      <c r="B35" s="6" t="s">
        <v>179</v>
      </c>
      <c r="C35" s="11">
        <v>46050.0</v>
      </c>
      <c r="D35" s="6" t="s">
        <v>178</v>
      </c>
      <c r="E35" s="6" t="s">
        <v>106</v>
      </c>
      <c r="F35" s="10">
        <v>143000</v>
      </c>
      <c r="G35" s="17" t="str">
        <f t="array" ref="G35">IFERROR(INDEX(Contracts!$B$2:$B$10,MATCH(A35,Contracts!$A$2:$A$10,0)),"Unknown contract")</f>
        <v>P-03</v>
      </c>
      <c r="H35" s="13">
        <f t="shared" si="1"/>
        <v>2026</v>
      </c>
      <c r="I35" s="13">
        <f t="shared" si="2"/>
        <v>1</v>
      </c>
    </row>
    <row r="36" ht="15.75" customHeight="1">
      <c r="A36" s="6" t="s">
        <v>90</v>
      </c>
      <c r="B36" s="6" t="s">
        <v>180</v>
      </c>
      <c r="C36" s="11">
        <v>46050.0</v>
      </c>
      <c r="D36" s="6" t="s">
        <v>178</v>
      </c>
      <c r="E36" s="6" t="s">
        <v>106</v>
      </c>
      <c r="F36" s="10">
        <v>152000</v>
      </c>
      <c r="G36" s="17" t="str">
        <f t="array" ref="G36">IFERROR(INDEX(Contracts!$B$2:$B$10,MATCH(A36,Contracts!$A$2:$A$10,0)),"Unknown contract")</f>
        <v>P-01</v>
      </c>
      <c r="H36" s="13">
        <f t="shared" si="1"/>
        <v>2026</v>
      </c>
      <c r="I36" s="13">
        <f t="shared" si="2"/>
        <v>1</v>
      </c>
    </row>
    <row r="37" ht="15.75" customHeight="1">
      <c r="A37" s="6" t="s">
        <v>92</v>
      </c>
      <c r="B37" s="6" t="s">
        <v>182</v>
      </c>
      <c r="C37" s="11">
        <v>46081.0</v>
      </c>
      <c r="D37" s="6" t="s">
        <v>183</v>
      </c>
      <c r="E37" s="6" t="s">
        <v>106</v>
      </c>
      <c r="F37" s="10">
        <v>246000</v>
      </c>
      <c r="G37" s="17" t="str">
        <f t="array" ref="G37">IFERROR(INDEX(Contracts!$B$2:$B$10,MATCH(A37,Contracts!$A$2:$A$10,0)),"Unknown contract")</f>
        <v>P-02</v>
      </c>
      <c r="H37" s="13">
        <f t="shared" si="1"/>
        <v>2026</v>
      </c>
      <c r="I37" s="13">
        <f t="shared" si="2"/>
        <v>2</v>
      </c>
    </row>
    <row r="38" ht="15.75" customHeight="1">
      <c r="A38" s="6" t="s">
        <v>107</v>
      </c>
      <c r="B38" s="6" t="s">
        <v>184</v>
      </c>
      <c r="C38" s="11">
        <v>46081.0</v>
      </c>
      <c r="D38" s="6" t="s">
        <v>183</v>
      </c>
      <c r="E38" s="6" t="s">
        <v>106</v>
      </c>
      <c r="F38" s="10">
        <v>138000</v>
      </c>
      <c r="G38" s="17" t="str">
        <f t="array" ref="G38">IFERROR(INDEX(Contracts!$B$2:$B$10,MATCH(A38,Contracts!$A$2:$A$10,0)),"Unknown contract")</f>
        <v>P-03</v>
      </c>
      <c r="H38" s="13">
        <f t="shared" si="1"/>
        <v>2026</v>
      </c>
      <c r="I38" s="13">
        <f t="shared" si="2"/>
        <v>2</v>
      </c>
    </row>
    <row r="39" ht="15.75" customHeight="1">
      <c r="A39" s="6" t="s">
        <v>90</v>
      </c>
      <c r="B39" s="6" t="s">
        <v>185</v>
      </c>
      <c r="C39" s="11">
        <v>46081.0</v>
      </c>
      <c r="D39" s="6" t="s">
        <v>183</v>
      </c>
      <c r="E39" s="6" t="s">
        <v>106</v>
      </c>
      <c r="F39" s="10">
        <v>154000</v>
      </c>
      <c r="G39" s="17" t="str">
        <f t="array" ref="G39">IFERROR(INDEX(Contracts!$B$2:$B$10,MATCH(A39,Contracts!$A$2:$A$10,0)),"Unknown contract")</f>
        <v>P-01</v>
      </c>
      <c r="H39" s="13">
        <f t="shared" si="1"/>
        <v>2026</v>
      </c>
      <c r="I39" s="13">
        <f t="shared" si="2"/>
        <v>2</v>
      </c>
    </row>
    <row r="40" ht="15.75" customHeight="1">
      <c r="A40" s="6" t="s">
        <v>92</v>
      </c>
      <c r="B40" s="6" t="s">
        <v>186</v>
      </c>
      <c r="C40" s="11">
        <v>46109.0</v>
      </c>
      <c r="D40" s="6" t="s">
        <v>187</v>
      </c>
      <c r="E40" s="6" t="s">
        <v>106</v>
      </c>
      <c r="F40" s="10">
        <v>235000</v>
      </c>
      <c r="G40" s="17" t="str">
        <f t="array" ref="G40">IFERROR(INDEX(Contracts!$B$2:$B$10,MATCH(A40,Contracts!$A$2:$A$10,0)),"Unknown contract")</f>
        <v>P-02</v>
      </c>
      <c r="H40" s="13">
        <f t="shared" si="1"/>
        <v>2026</v>
      </c>
      <c r="I40" s="13">
        <f t="shared" si="2"/>
        <v>3</v>
      </c>
    </row>
    <row r="41" ht="15.75" customHeight="1">
      <c r="A41" s="6" t="s">
        <v>107</v>
      </c>
      <c r="B41" s="6" t="s">
        <v>188</v>
      </c>
      <c r="C41" s="11">
        <v>46109.0</v>
      </c>
      <c r="D41" s="6" t="s">
        <v>187</v>
      </c>
      <c r="E41" s="6" t="s">
        <v>106</v>
      </c>
      <c r="F41" s="10">
        <v>139000</v>
      </c>
      <c r="G41" s="17" t="str">
        <f t="array" ref="G41">IFERROR(INDEX(Contracts!$B$2:$B$10,MATCH(A41,Contracts!$A$2:$A$10,0)),"Unknown contract")</f>
        <v>P-03</v>
      </c>
      <c r="H41" s="13">
        <f t="shared" si="1"/>
        <v>2026</v>
      </c>
      <c r="I41" s="13">
        <f t="shared" si="2"/>
        <v>3</v>
      </c>
    </row>
    <row r="42" ht="15.75" customHeight="1">
      <c r="A42" s="6" t="s">
        <v>118</v>
      </c>
      <c r="B42" s="6" t="s">
        <v>189</v>
      </c>
      <c r="C42" s="11">
        <v>46109.0</v>
      </c>
      <c r="D42" s="6" t="s">
        <v>187</v>
      </c>
      <c r="E42" s="6" t="s">
        <v>106</v>
      </c>
      <c r="F42" s="10">
        <v>290000</v>
      </c>
      <c r="G42" s="17" t="str">
        <f t="array" ref="G42">IFERROR(INDEX(Contracts!$B$2:$B$10,MATCH(A42,Contracts!$A$2:$A$10,0)),"Unknown contract")</f>
        <v>P-05</v>
      </c>
      <c r="H42" s="13">
        <f t="shared" si="1"/>
        <v>2026</v>
      </c>
      <c r="I42" s="13">
        <f t="shared" si="2"/>
        <v>3</v>
      </c>
    </row>
    <row r="43" ht="15.75" customHeight="1">
      <c r="A43" s="6" t="s">
        <v>90</v>
      </c>
      <c r="B43" s="6" t="s">
        <v>190</v>
      </c>
      <c r="C43" s="11">
        <v>46109.0</v>
      </c>
      <c r="D43" s="6" t="s">
        <v>187</v>
      </c>
      <c r="E43" s="6" t="s">
        <v>106</v>
      </c>
      <c r="F43" s="10">
        <v>171000</v>
      </c>
      <c r="G43" s="17" t="str">
        <f t="array" ref="G43">IFERROR(INDEX(Contracts!$B$2:$B$10,MATCH(A43,Contracts!$A$2:$A$10,0)),"Unknown contract")</f>
        <v>P-01</v>
      </c>
      <c r="H43" s="13">
        <f t="shared" si="1"/>
        <v>2026</v>
      </c>
      <c r="I43" s="13">
        <f t="shared" si="2"/>
        <v>3</v>
      </c>
    </row>
    <row r="44" ht="15.75" customHeight="1">
      <c r="A44" s="6" t="s">
        <v>95</v>
      </c>
      <c r="B44" s="6" t="s">
        <v>191</v>
      </c>
      <c r="C44" s="11">
        <v>46109.0</v>
      </c>
      <c r="D44" s="6" t="s">
        <v>187</v>
      </c>
      <c r="E44" s="6" t="s">
        <v>106</v>
      </c>
      <c r="F44" s="10">
        <v>122000</v>
      </c>
      <c r="G44" s="17" t="str">
        <f t="array" ref="G44">IFERROR(INDEX(Contracts!$B$2:$B$10,MATCH(A44,Contracts!$A$2:$A$10,0)),"Unknown contract")</f>
        <v>P-02</v>
      </c>
      <c r="H44" s="13">
        <f t="shared" si="1"/>
        <v>2026</v>
      </c>
      <c r="I44" s="13">
        <f t="shared" si="2"/>
        <v>3</v>
      </c>
    </row>
    <row r="45" ht="15.75" customHeight="1">
      <c r="A45" s="6" t="s">
        <v>92</v>
      </c>
      <c r="B45" s="6" t="s">
        <v>192</v>
      </c>
      <c r="C45" s="11">
        <v>46140.0</v>
      </c>
      <c r="D45" s="6" t="s">
        <v>193</v>
      </c>
      <c r="E45" s="6" t="s">
        <v>106</v>
      </c>
      <c r="F45" s="10">
        <v>272000</v>
      </c>
      <c r="G45" s="17" t="str">
        <f t="array" ref="G45">IFERROR(INDEX(Contracts!$B$2:$B$10,MATCH(A45,Contracts!$A$2:$A$10,0)),"Unknown contract")</f>
        <v>P-02</v>
      </c>
      <c r="H45" s="13">
        <f t="shared" si="1"/>
        <v>2026</v>
      </c>
      <c r="I45" s="13">
        <f t="shared" si="2"/>
        <v>4</v>
      </c>
    </row>
    <row r="46" ht="15.75" customHeight="1">
      <c r="A46" s="6" t="s">
        <v>90</v>
      </c>
      <c r="B46" s="6" t="s">
        <v>194</v>
      </c>
      <c r="C46" s="11">
        <v>46140.0</v>
      </c>
      <c r="D46" s="6" t="s">
        <v>193</v>
      </c>
      <c r="E46" s="6" t="s">
        <v>106</v>
      </c>
      <c r="F46" s="10">
        <v>192000</v>
      </c>
      <c r="G46" s="17" t="str">
        <f t="array" ref="G46">IFERROR(INDEX(Contracts!$B$2:$B$10,MATCH(A46,Contracts!$A$2:$A$10,0)),"Unknown contract")</f>
        <v>P-01</v>
      </c>
      <c r="H46" s="13">
        <f t="shared" si="1"/>
        <v>2026</v>
      </c>
      <c r="I46" s="13">
        <f t="shared" si="2"/>
        <v>4</v>
      </c>
    </row>
    <row r="47" ht="15.75" customHeight="1">
      <c r="A47" s="6" t="s">
        <v>92</v>
      </c>
      <c r="B47" s="6" t="s">
        <v>195</v>
      </c>
      <c r="C47" s="11">
        <v>46170.0</v>
      </c>
      <c r="D47" s="6" t="s">
        <v>196</v>
      </c>
      <c r="E47" s="6" t="s">
        <v>106</v>
      </c>
      <c r="F47" s="10">
        <v>265000</v>
      </c>
      <c r="G47" s="17" t="str">
        <f t="array" ref="G47">IFERROR(INDEX(Contracts!$B$2:$B$10,MATCH(A47,Contracts!$A$2:$A$10,0)),"Unknown contract")</f>
        <v>P-02</v>
      </c>
      <c r="H47" s="13">
        <f t="shared" si="1"/>
        <v>2026</v>
      </c>
      <c r="I47" s="13">
        <f t="shared" si="2"/>
        <v>5</v>
      </c>
    </row>
    <row r="48" ht="15.75" customHeight="1">
      <c r="A48" s="6" t="s">
        <v>90</v>
      </c>
      <c r="B48" s="6" t="s">
        <v>198</v>
      </c>
      <c r="C48" s="11">
        <v>46170.0</v>
      </c>
      <c r="D48" s="6" t="s">
        <v>196</v>
      </c>
      <c r="E48" s="6" t="s">
        <v>106</v>
      </c>
      <c r="F48" s="10">
        <v>155000</v>
      </c>
      <c r="G48" s="17" t="str">
        <f t="array" ref="G48">IFERROR(INDEX(Contracts!$B$2:$B$10,MATCH(A48,Contracts!$A$2:$A$10,0)),"Unknown contract")</f>
        <v>P-01</v>
      </c>
      <c r="H48" s="13">
        <f t="shared" si="1"/>
        <v>2026</v>
      </c>
      <c r="I48" s="13">
        <f t="shared" si="2"/>
        <v>5</v>
      </c>
    </row>
    <row r="49" ht="15.75" customHeight="1">
      <c r="A49" s="6" t="s">
        <v>92</v>
      </c>
      <c r="B49" s="6" t="s">
        <v>199</v>
      </c>
      <c r="C49" s="11">
        <v>46201.0</v>
      </c>
      <c r="D49" s="6" t="s">
        <v>200</v>
      </c>
      <c r="E49" s="6" t="s">
        <v>106</v>
      </c>
      <c r="F49" s="10">
        <v>231000</v>
      </c>
      <c r="G49" s="17" t="str">
        <f t="array" ref="G49">IFERROR(INDEX(Contracts!$B$2:$B$10,MATCH(A49,Contracts!$A$2:$A$10,0)),"Unknown contract")</f>
        <v>P-02</v>
      </c>
      <c r="H49" s="13">
        <f t="shared" si="1"/>
        <v>2026</v>
      </c>
      <c r="I49" s="13">
        <f t="shared" si="2"/>
        <v>6</v>
      </c>
    </row>
    <row r="50" ht="15.75" customHeight="1">
      <c r="A50" s="6" t="s">
        <v>118</v>
      </c>
      <c r="B50" s="6" t="s">
        <v>201</v>
      </c>
      <c r="C50" s="11">
        <v>46201.0</v>
      </c>
      <c r="D50" s="6" t="s">
        <v>200</v>
      </c>
      <c r="E50" s="6" t="s">
        <v>106</v>
      </c>
      <c r="F50" s="10">
        <v>310000</v>
      </c>
      <c r="G50" s="17" t="str">
        <f t="array" ref="G50">IFERROR(INDEX(Contracts!$B$2:$B$10,MATCH(A50,Contracts!$A$2:$A$10,0)),"Unknown contract")</f>
        <v>P-05</v>
      </c>
      <c r="H50" s="13">
        <f t="shared" si="1"/>
        <v>2026</v>
      </c>
      <c r="I50" s="13">
        <f t="shared" si="2"/>
        <v>6</v>
      </c>
    </row>
    <row r="51" ht="15.75" customHeight="1">
      <c r="A51" s="6" t="s">
        <v>90</v>
      </c>
      <c r="B51" s="6" t="s">
        <v>203</v>
      </c>
      <c r="C51" s="11">
        <v>46201.0</v>
      </c>
      <c r="D51" s="6" t="s">
        <v>200</v>
      </c>
      <c r="E51" s="6" t="s">
        <v>106</v>
      </c>
      <c r="F51" s="10">
        <v>160000</v>
      </c>
      <c r="G51" s="17" t="str">
        <f t="array" ref="G51">IFERROR(INDEX(Contracts!$B$2:$B$10,MATCH(A51,Contracts!$A$2:$A$10,0)),"Unknown contract")</f>
        <v>P-01</v>
      </c>
      <c r="H51" s="13">
        <f t="shared" si="1"/>
        <v>2026</v>
      </c>
      <c r="I51" s="13">
        <f t="shared" si="2"/>
        <v>6</v>
      </c>
    </row>
    <row r="52" ht="15.75" customHeight="1">
      <c r="A52" s="6" t="s">
        <v>95</v>
      </c>
      <c r="B52" s="6" t="s">
        <v>204</v>
      </c>
      <c r="C52" s="11">
        <v>46201.0</v>
      </c>
      <c r="D52" s="6" t="s">
        <v>200</v>
      </c>
      <c r="E52" s="6" t="s">
        <v>106</v>
      </c>
      <c r="F52" s="10">
        <v>134000</v>
      </c>
      <c r="G52" s="17" t="str">
        <f t="array" ref="G52">IFERROR(INDEX(Contracts!$B$2:$B$10,MATCH(A52,Contracts!$A$2:$A$10,0)),"Unknown contract")</f>
        <v>P-02</v>
      </c>
      <c r="H52" s="13">
        <f t="shared" si="1"/>
        <v>2026</v>
      </c>
      <c r="I52" s="13">
        <f t="shared" si="2"/>
        <v>6</v>
      </c>
    </row>
    <row r="53" ht="15.75" customHeight="1">
      <c r="A53" s="6" t="s">
        <v>92</v>
      </c>
      <c r="B53" s="6" t="s">
        <v>205</v>
      </c>
      <c r="C53" s="11">
        <v>46231.0</v>
      </c>
      <c r="D53" s="6" t="s">
        <v>206</v>
      </c>
      <c r="E53" s="6" t="s">
        <v>106</v>
      </c>
      <c r="F53" s="10">
        <v>256000</v>
      </c>
      <c r="G53" s="17" t="str">
        <f t="array" ref="G53">IFERROR(INDEX(Contracts!$B$2:$B$10,MATCH(A53,Contracts!$A$2:$A$10,0)),"Unknown contract")</f>
        <v>P-02</v>
      </c>
      <c r="H53" s="13">
        <f t="shared" si="1"/>
        <v>2026</v>
      </c>
      <c r="I53" s="13">
        <f t="shared" si="2"/>
        <v>7</v>
      </c>
    </row>
    <row r="54" ht="15.75" customHeight="1">
      <c r="A54" s="6" t="s">
        <v>90</v>
      </c>
      <c r="B54" s="6" t="s">
        <v>207</v>
      </c>
      <c r="C54" s="11">
        <v>46231.0</v>
      </c>
      <c r="D54" s="6" t="s">
        <v>206</v>
      </c>
      <c r="E54" s="6" t="s">
        <v>106</v>
      </c>
      <c r="F54" s="10">
        <v>182000</v>
      </c>
      <c r="G54" s="17" t="str">
        <f t="array" ref="G54">IFERROR(INDEX(Contracts!$B$2:$B$10,MATCH(A54,Contracts!$A$2:$A$10,0)),"Unknown contract")</f>
        <v>P-01</v>
      </c>
      <c r="H54" s="13">
        <f t="shared" si="1"/>
        <v>2026</v>
      </c>
      <c r="I54" s="13">
        <f t="shared" si="2"/>
        <v>7</v>
      </c>
    </row>
    <row r="55" ht="15.75" customHeight="1">
      <c r="A55" s="6" t="s">
        <v>92</v>
      </c>
      <c r="B55" s="6" t="s">
        <v>208</v>
      </c>
      <c r="C55" s="11">
        <v>46262.0</v>
      </c>
      <c r="D55" s="6" t="s">
        <v>209</v>
      </c>
      <c r="E55" s="6" t="s">
        <v>106</v>
      </c>
      <c r="F55" s="10">
        <v>252000</v>
      </c>
      <c r="G55" s="17" t="str">
        <f t="array" ref="G55">IFERROR(INDEX(Contracts!$B$2:$B$10,MATCH(A55,Contracts!$A$2:$A$10,0)),"Unknown contract")</f>
        <v>P-02</v>
      </c>
      <c r="H55" s="13">
        <f t="shared" si="1"/>
        <v>2026</v>
      </c>
      <c r="I55" s="13">
        <f t="shared" si="2"/>
        <v>8</v>
      </c>
    </row>
    <row r="56" ht="15.75" customHeight="1">
      <c r="A56" s="6" t="s">
        <v>90</v>
      </c>
      <c r="B56" s="6" t="s">
        <v>210</v>
      </c>
      <c r="C56" s="11">
        <v>46262.0</v>
      </c>
      <c r="D56" s="6" t="s">
        <v>209</v>
      </c>
      <c r="E56" s="6" t="s">
        <v>106</v>
      </c>
      <c r="F56" s="10">
        <v>199000</v>
      </c>
      <c r="G56" s="17" t="str">
        <f t="array" ref="G56">IFERROR(INDEX(Contracts!$B$2:$B$10,MATCH(A56,Contracts!$A$2:$A$10,0)),"Unknown contract")</f>
        <v>P-01</v>
      </c>
      <c r="H56" s="13">
        <f t="shared" si="1"/>
        <v>2026</v>
      </c>
      <c r="I56" s="13">
        <f t="shared" si="2"/>
        <v>8</v>
      </c>
    </row>
    <row r="57" ht="15.75" customHeight="1">
      <c r="A57" s="6" t="s">
        <v>110</v>
      </c>
      <c r="B57" s="6" t="s">
        <v>211</v>
      </c>
      <c r="C57" s="11">
        <v>46262.0</v>
      </c>
      <c r="D57" s="6" t="s">
        <v>209</v>
      </c>
      <c r="E57" s="6" t="s">
        <v>106</v>
      </c>
      <c r="F57" s="10">
        <v>765000</v>
      </c>
      <c r="G57" s="17" t="str">
        <f t="array" ref="G57">IFERROR(INDEX(Contracts!$B$2:$B$10,MATCH(A57,Contracts!$A$2:$A$10,0)),"Unknown contract")</f>
        <v>P-03</v>
      </c>
      <c r="H57" s="13">
        <f t="shared" si="1"/>
        <v>2026</v>
      </c>
      <c r="I57" s="13">
        <f t="shared" si="2"/>
        <v>8</v>
      </c>
    </row>
    <row r="58" ht="15.75" customHeight="1">
      <c r="A58" s="6" t="s">
        <v>127</v>
      </c>
      <c r="B58" s="6" t="s">
        <v>212</v>
      </c>
      <c r="C58" s="11">
        <v>46262.0</v>
      </c>
      <c r="D58" s="6" t="s">
        <v>209</v>
      </c>
      <c r="E58" s="6" t="s">
        <v>106</v>
      </c>
      <c r="F58" s="10">
        <v>278000</v>
      </c>
      <c r="G58" s="17" t="str">
        <f t="array" ref="G58">IFERROR(INDEX(Contracts!$B$2:$B$10,MATCH(A58,Contracts!$A$2:$A$10,0)),"Unknown contract")</f>
        <v>P-05</v>
      </c>
      <c r="H58" s="13">
        <f t="shared" si="1"/>
        <v>2026</v>
      </c>
      <c r="I58" s="13">
        <f t="shared" si="2"/>
        <v>8</v>
      </c>
    </row>
    <row r="59" ht="15.75" customHeight="1">
      <c r="A59" s="6" t="s">
        <v>92</v>
      </c>
      <c r="B59" s="6" t="s">
        <v>213</v>
      </c>
      <c r="C59" s="11">
        <v>46293.0</v>
      </c>
      <c r="D59" s="6" t="s">
        <v>214</v>
      </c>
      <c r="E59" s="6" t="s">
        <v>106</v>
      </c>
      <c r="F59" s="10">
        <v>278000</v>
      </c>
      <c r="G59" s="17" t="str">
        <f t="array" ref="G59">IFERROR(INDEX(Contracts!$B$2:$B$10,MATCH(A59,Contracts!$A$2:$A$10,0)),"Unknown contract")</f>
        <v>P-02</v>
      </c>
      <c r="H59" s="13">
        <f t="shared" si="1"/>
        <v>2026</v>
      </c>
      <c r="I59" s="13">
        <f t="shared" si="2"/>
        <v>9</v>
      </c>
    </row>
    <row r="60" ht="15.75" customHeight="1">
      <c r="A60" s="6" t="s">
        <v>90</v>
      </c>
      <c r="B60" s="6" t="s">
        <v>215</v>
      </c>
      <c r="C60" s="11">
        <v>46293.0</v>
      </c>
      <c r="D60" s="6" t="s">
        <v>214</v>
      </c>
      <c r="E60" s="6" t="s">
        <v>106</v>
      </c>
      <c r="F60" s="10">
        <v>179000</v>
      </c>
      <c r="G60" s="17" t="str">
        <f t="array" ref="G60">IFERROR(INDEX(Contracts!$B$2:$B$10,MATCH(A60,Contracts!$A$2:$A$10,0)),"Unknown contract")</f>
        <v>P-01</v>
      </c>
      <c r="H60" s="13">
        <f t="shared" si="1"/>
        <v>2026</v>
      </c>
      <c r="I60" s="13">
        <f t="shared" si="2"/>
        <v>9</v>
      </c>
    </row>
    <row r="61" ht="15.75" customHeight="1">
      <c r="A61" s="6" t="s">
        <v>95</v>
      </c>
      <c r="B61" s="6" t="s">
        <v>216</v>
      </c>
      <c r="C61" s="11">
        <v>46293.0</v>
      </c>
      <c r="D61" s="6" t="s">
        <v>214</v>
      </c>
      <c r="E61" s="6" t="s">
        <v>106</v>
      </c>
      <c r="F61" s="10">
        <v>148000</v>
      </c>
      <c r="G61" s="17" t="str">
        <f t="array" ref="G61">IFERROR(INDEX(Contracts!$B$2:$B$10,MATCH(A61,Contracts!$A$2:$A$10,0)),"Unknown contract")</f>
        <v>P-02</v>
      </c>
      <c r="H61" s="13">
        <f t="shared" si="1"/>
        <v>2026</v>
      </c>
      <c r="I61" s="13">
        <f t="shared" si="2"/>
        <v>9</v>
      </c>
    </row>
    <row r="62" ht="15.75" customHeight="1">
      <c r="A62" s="6" t="s">
        <v>112</v>
      </c>
      <c r="B62" s="6" t="s">
        <v>217</v>
      </c>
      <c r="C62" s="11">
        <v>46293.0</v>
      </c>
      <c r="D62" s="6" t="s">
        <v>214</v>
      </c>
      <c r="E62" s="6" t="s">
        <v>106</v>
      </c>
      <c r="F62" s="10">
        <v>210000</v>
      </c>
      <c r="G62" s="17" t="str">
        <f t="array" ref="G62">IFERROR(INDEX(Contracts!$B$2:$B$10,MATCH(A62,Contracts!$A$2:$A$10,0)),"Unknown contract")</f>
        <v>P-04</v>
      </c>
      <c r="H62" s="13">
        <f t="shared" si="1"/>
        <v>2026</v>
      </c>
      <c r="I62" s="13">
        <f t="shared" si="2"/>
        <v>9</v>
      </c>
    </row>
    <row r="63" ht="15.75" customHeight="1">
      <c r="A63" s="6" t="s">
        <v>92</v>
      </c>
      <c r="B63" s="6" t="s">
        <v>218</v>
      </c>
      <c r="C63" s="11">
        <v>46323.0</v>
      </c>
      <c r="D63" s="6" t="s">
        <v>219</v>
      </c>
      <c r="E63" s="6" t="s">
        <v>106</v>
      </c>
      <c r="F63" s="10">
        <v>267000</v>
      </c>
      <c r="G63" s="17" t="str">
        <f t="array" ref="G63">IFERROR(INDEX(Contracts!$B$2:$B$10,MATCH(A63,Contracts!$A$2:$A$10,0)),"Unknown contract")</f>
        <v>P-02</v>
      </c>
      <c r="H63" s="13">
        <f t="shared" si="1"/>
        <v>2026</v>
      </c>
      <c r="I63" s="13">
        <f t="shared" si="2"/>
        <v>10</v>
      </c>
    </row>
    <row r="64" ht="15.75" customHeight="1">
      <c r="A64" s="6" t="s">
        <v>90</v>
      </c>
      <c r="B64" s="6" t="s">
        <v>220</v>
      </c>
      <c r="C64" s="11">
        <v>46323.0</v>
      </c>
      <c r="D64" s="6" t="s">
        <v>219</v>
      </c>
      <c r="E64" s="6" t="s">
        <v>106</v>
      </c>
      <c r="F64" s="10">
        <v>170000</v>
      </c>
      <c r="G64" s="17" t="str">
        <f t="array" ref="G64">IFERROR(INDEX(Contracts!$B$2:$B$10,MATCH(A64,Contracts!$A$2:$A$10,0)),"Unknown contract")</f>
        <v>P-01</v>
      </c>
      <c r="H64" s="13">
        <f t="shared" si="1"/>
        <v>2026</v>
      </c>
      <c r="I64" s="13">
        <f t="shared" si="2"/>
        <v>10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1.0"/>
    <col customWidth="1" min="2" max="2" width="30.0"/>
    <col customWidth="1" min="3" max="3" width="13.0"/>
    <col customWidth="1" min="4" max="4" width="14.0"/>
    <col customWidth="1" min="5" max="5" width="15.0"/>
    <col customWidth="1" min="6" max="6" width="17.0"/>
    <col customWidth="1" min="7" max="7" width="16.0"/>
    <col customWidth="1" min="8" max="8" width="15.0"/>
    <col customWidth="1" min="9" max="9" width="16.0"/>
    <col customWidth="1" min="10" max="26" width="8.71"/>
  </cols>
  <sheetData>
    <row r="1">
      <c r="A1" s="18" t="s">
        <v>115</v>
      </c>
      <c r="D1" s="19">
        <v>2025.0</v>
      </c>
    </row>
    <row r="2">
      <c r="A2" s="20" t="s">
        <v>122</v>
      </c>
    </row>
    <row r="4" ht="31.5" customHeight="1">
      <c r="A4" s="4" t="s">
        <v>1</v>
      </c>
      <c r="B4" s="4" t="s">
        <v>19</v>
      </c>
      <c r="C4" s="4" t="s">
        <v>123</v>
      </c>
      <c r="D4" s="4" t="s">
        <v>124</v>
      </c>
      <c r="E4" s="4" t="s">
        <v>125</v>
      </c>
      <c r="F4" s="4" t="s">
        <v>126</v>
      </c>
      <c r="G4" s="4" t="s">
        <v>128</v>
      </c>
      <c r="H4" s="4" t="s">
        <v>129</v>
      </c>
      <c r="I4" s="4" t="s">
        <v>131</v>
      </c>
    </row>
    <row r="5">
      <c r="A5" s="17" t="str">
        <f>Projects!A2</f>
        <v>P-01</v>
      </c>
      <c r="B5" s="17" t="str">
        <f>Projects!C2</f>
        <v>CRM modernisation</v>
      </c>
      <c r="C5" s="14">
        <f>SUMIFS(Budget_Plan!$O$2:$O$16,Budget_Plan!$A$2:$A$16,A5,Budget_Plan!$B$2:$B$16,TEXT($D$1,"0"))</f>
        <v>1800000</v>
      </c>
      <c r="D5" s="14">
        <f t="array" ref="D5">SUMPRODUCT((Contracts!$B$2:$B$10=A5)*INDEX(Contracts!$I$2:$K$10,0,MATCH("Of which "&amp;$D$1,Contracts!$I$1:$K$1,0)))</f>
        <v>1560000</v>
      </c>
      <c r="E5" s="14">
        <f>SUMIFS(Certificates!$F$2:$F$200,Certificates!$G$2:$G$200,A5,Certificates!$H$2:$H$200,$D$1)</f>
        <v>1650000</v>
      </c>
      <c r="F5" s="15">
        <f t="shared" ref="F5:G5" si="1">C5-D5</f>
        <v>240000</v>
      </c>
      <c r="G5" s="15">
        <f t="shared" si="1"/>
        <v>-90000</v>
      </c>
      <c r="H5" s="16">
        <f t="shared" ref="H5:H10" si="3">IF(C5=0,0,E5/C5)</f>
        <v>0.9166666667</v>
      </c>
      <c r="I5" s="16">
        <f t="shared" ref="I5:I10" si="4">IF(C5=0,0,D5/C5)</f>
        <v>0.8666666667</v>
      </c>
    </row>
    <row r="6">
      <c r="A6" s="17" t="str">
        <f>Projects!A3</f>
        <v>P-02</v>
      </c>
      <c r="B6" s="17" t="str">
        <f>Projects!C3</f>
        <v>Data warehouse</v>
      </c>
      <c r="C6" s="14">
        <f>SUMIFS(Budget_Plan!$O$2:$O$16,Budget_Plan!$A$2:$A$16,A6,Budget_Plan!$B$2:$B$16,TEXT($D$1,"0"))</f>
        <v>3000000</v>
      </c>
      <c r="D6" s="14">
        <f t="array" ref="D6">SUMPRODUCT((Contracts!$B$2:$B$10=A6)*INDEX(Contracts!$I$2:$K$10,0,MATCH("Of which "&amp;$D$1,Contracts!$I$1:$K$1,0)))</f>
        <v>2600000</v>
      </c>
      <c r="E6" s="14">
        <f>SUMIFS(Certificates!$F$2:$F$200,Certificates!$G$2:$G$200,A6,Certificates!$H$2:$H$200,$D$1)</f>
        <v>2600000</v>
      </c>
      <c r="F6" s="15">
        <f t="shared" ref="F6:G6" si="2">C6-D6</f>
        <v>400000</v>
      </c>
      <c r="G6" s="15">
        <f t="shared" si="2"/>
        <v>0</v>
      </c>
      <c r="H6" s="16">
        <f t="shared" si="3"/>
        <v>0.8666666667</v>
      </c>
      <c r="I6" s="16">
        <f t="shared" si="4"/>
        <v>0.8666666667</v>
      </c>
    </row>
    <row r="7">
      <c r="A7" s="17" t="str">
        <f>Projects!A4</f>
        <v>P-03</v>
      </c>
      <c r="B7" s="17" t="str">
        <f>Projects!C4</f>
        <v>Mobile banking app</v>
      </c>
      <c r="C7" s="14">
        <f>SUMIFS(Budget_Plan!$O$2:$O$16,Budget_Plan!$A$2:$A$16,A7,Budget_Plan!$B$2:$B$16,TEXT($D$1,"0"))</f>
        <v>1200000</v>
      </c>
      <c r="D7" s="14">
        <f t="array" ref="D7">SUMPRODUCT((Contracts!$B$2:$B$10=A7)*INDEX(Contracts!$I$2:$K$10,0,MATCH("Of which "&amp;$D$1,Contracts!$I$1:$K$1,0)))</f>
        <v>1050000</v>
      </c>
      <c r="E7" s="14">
        <f>SUMIFS(Certificates!$F$2:$F$200,Certificates!$G$2:$G$200,A7,Certificates!$H$2:$H$200,$D$1)</f>
        <v>1050000</v>
      </c>
      <c r="F7" s="15">
        <f t="shared" ref="F7:G7" si="5">C7-D7</f>
        <v>150000</v>
      </c>
      <c r="G7" s="15">
        <f t="shared" si="5"/>
        <v>0</v>
      </c>
      <c r="H7" s="16">
        <f t="shared" si="3"/>
        <v>0.875</v>
      </c>
      <c r="I7" s="16">
        <f t="shared" si="4"/>
        <v>0.875</v>
      </c>
    </row>
    <row r="8">
      <c r="A8" s="17" t="str">
        <f>Projects!A5</f>
        <v>P-04</v>
      </c>
      <c r="B8" s="17" t="str">
        <f>Projects!C5</f>
        <v>ERP finance module</v>
      </c>
      <c r="C8" s="14">
        <f>SUMIFS(Budget_Plan!$O$2:$O$16,Budget_Plan!$A$2:$A$16,A8,Budget_Plan!$B$2:$B$16,TEXT($D$1,"0"))</f>
        <v>0</v>
      </c>
      <c r="D8" s="14">
        <f t="array" ref="D8">SUMPRODUCT((Contracts!$B$2:$B$10=A8)*INDEX(Contracts!$I$2:$K$10,0,MATCH("Of which "&amp;$D$1,Contracts!$I$1:$K$1,0)))</f>
        <v>0</v>
      </c>
      <c r="E8" s="14">
        <f>SUMIFS(Certificates!$F$2:$F$200,Certificates!$G$2:$G$200,A8,Certificates!$H$2:$H$200,$D$1)</f>
        <v>0</v>
      </c>
      <c r="F8" s="15">
        <f t="shared" ref="F8:G8" si="6">C8-D8</f>
        <v>0</v>
      </c>
      <c r="G8" s="15">
        <f t="shared" si="6"/>
        <v>0</v>
      </c>
      <c r="H8" s="16">
        <f t="shared" si="3"/>
        <v>0</v>
      </c>
      <c r="I8" s="16">
        <f t="shared" si="4"/>
        <v>0</v>
      </c>
    </row>
    <row r="9">
      <c r="A9" s="17" t="str">
        <f>Projects!A6</f>
        <v>P-05</v>
      </c>
      <c r="B9" s="17" t="str">
        <f>Projects!C6</f>
        <v>Information security upgrade</v>
      </c>
      <c r="C9" s="14">
        <f>SUMIFS(Budget_Plan!$O$2:$O$16,Budget_Plan!$A$2:$A$16,A9,Budget_Plan!$B$2:$B$16,TEXT($D$1,"0"))</f>
        <v>900000</v>
      </c>
      <c r="D9" s="14">
        <f t="array" ref="D9">SUMPRODUCT((Contracts!$B$2:$B$10=A9)*INDEX(Contracts!$I$2:$K$10,0,MATCH("Of which "&amp;$D$1,Contracts!$I$1:$K$1,0)))</f>
        <v>720000</v>
      </c>
      <c r="E9" s="14">
        <f>SUMIFS(Certificates!$F$2:$F$200,Certificates!$G$2:$G$200,A9,Certificates!$H$2:$H$200,$D$1)</f>
        <v>720000</v>
      </c>
      <c r="F9" s="15">
        <f t="shared" ref="F9:G9" si="7">C9-D9</f>
        <v>180000</v>
      </c>
      <c r="G9" s="15">
        <f t="shared" si="7"/>
        <v>0</v>
      </c>
      <c r="H9" s="16">
        <f t="shared" si="3"/>
        <v>0.8</v>
      </c>
      <c r="I9" s="16">
        <f t="shared" si="4"/>
        <v>0.8</v>
      </c>
    </row>
    <row r="10">
      <c r="A10" s="21" t="s">
        <v>175</v>
      </c>
      <c r="B10" s="22"/>
      <c r="C10" s="23">
        <f t="shared" ref="C10:G10" si="8">SUM(C5:C9)</f>
        <v>6900000</v>
      </c>
      <c r="D10" s="23">
        <f t="shared" si="8"/>
        <v>5930000</v>
      </c>
      <c r="E10" s="23">
        <f t="shared" si="8"/>
        <v>6020000</v>
      </c>
      <c r="F10" s="23">
        <f t="shared" si="8"/>
        <v>970000</v>
      </c>
      <c r="G10" s="23">
        <f t="shared" si="8"/>
        <v>-90000</v>
      </c>
      <c r="H10" s="24">
        <f t="shared" si="3"/>
        <v>0.8724637681</v>
      </c>
      <c r="I10" s="24">
        <f t="shared" si="4"/>
        <v>0.8594202899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F5:F9">
    <cfRule type="cellIs" dxfId="0" priority="1" operator="lessThan">
      <formula>0</formula>
    </cfRule>
  </conditionalFormatting>
  <dataValidations>
    <dataValidation type="list" allowBlank="1" sqref="D1">
      <formula1>"2025,2026,2027"</formula1>
    </dataValidation>
  </dataValidations>
  <printOptions/>
  <pageMargins bottom="1.0" footer="0.0" header="0.0" left="0.75" right="0.75" top="1.0"/>
  <pageSetup paperSize="9" orientation="portrait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1.0"/>
    <col customWidth="1" min="2" max="2" width="24.0"/>
    <col customWidth="1" min="3" max="14" width="10.0"/>
    <col customWidth="1" min="15" max="15" width="13.0"/>
    <col customWidth="1" min="16" max="26" width="8.71"/>
  </cols>
  <sheetData>
    <row r="1">
      <c r="A1" s="18" t="s">
        <v>156</v>
      </c>
      <c r="D1" s="25">
        <f>Summary_Year!D1</f>
        <v>2025</v>
      </c>
    </row>
    <row r="2">
      <c r="A2" s="20" t="s">
        <v>159</v>
      </c>
    </row>
    <row r="4" ht="31.5" customHeight="1">
      <c r="A4" s="4" t="s">
        <v>1</v>
      </c>
      <c r="B4" s="4" t="s">
        <v>160</v>
      </c>
      <c r="C4" s="4" t="s">
        <v>26</v>
      </c>
      <c r="D4" s="4" t="s">
        <v>28</v>
      </c>
      <c r="E4" s="4" t="s">
        <v>32</v>
      </c>
      <c r="F4" s="4" t="s">
        <v>37</v>
      </c>
      <c r="G4" s="4" t="s">
        <v>39</v>
      </c>
      <c r="H4" s="4" t="s">
        <v>42</v>
      </c>
      <c r="I4" s="4" t="s">
        <v>45</v>
      </c>
      <c r="J4" s="4" t="s">
        <v>48</v>
      </c>
      <c r="K4" s="4" t="s">
        <v>51</v>
      </c>
      <c r="L4" s="4" t="s">
        <v>53</v>
      </c>
      <c r="M4" s="4" t="s">
        <v>55</v>
      </c>
      <c r="N4" s="4" t="s">
        <v>57</v>
      </c>
      <c r="O4" s="4" t="s">
        <v>60</v>
      </c>
    </row>
    <row r="5">
      <c r="A5" s="26" t="str">
        <f>Projects!A2</f>
        <v>P-01</v>
      </c>
      <c r="B5" s="27" t="s">
        <v>162</v>
      </c>
      <c r="C5" s="28">
        <f>SUMIFS(Budget_Plan!$C$2:$C$16,Budget_Plan!$A$2:$A$16,$A5,Budget_Plan!$B$2:$B$16,TEXT($D$1,"0"))</f>
        <v>72000</v>
      </c>
      <c r="D5" s="28">
        <f>SUMIFS(Budget_Plan!$D$2:$D$16,Budget_Plan!$A$2:$A$16,$A5,Budget_Plan!$B$2:$B$16,TEXT($D$1,"0"))</f>
        <v>108000</v>
      </c>
      <c r="E5" s="28">
        <f>SUMIFS(Budget_Plan!$E$2:$E$16,Budget_Plan!$A$2:$A$16,$A5,Budget_Plan!$B$2:$B$16,TEXT($D$1,"0"))</f>
        <v>144000</v>
      </c>
      <c r="F5" s="28">
        <f>SUMIFS(Budget_Plan!$F$2:$F$16,Budget_Plan!$A$2:$A$16,$A5,Budget_Plan!$B$2:$B$16,TEXT($D$1,"0"))</f>
        <v>144000</v>
      </c>
      <c r="G5" s="28">
        <f>SUMIFS(Budget_Plan!$G$2:$G$16,Budget_Plan!$A$2:$A$16,$A5,Budget_Plan!$B$2:$B$16,TEXT($D$1,"0"))</f>
        <v>162000</v>
      </c>
      <c r="H5" s="28">
        <f>SUMIFS(Budget_Plan!$H$2:$H$16,Budget_Plan!$A$2:$A$16,$A5,Budget_Plan!$B$2:$B$16,TEXT($D$1,"0"))</f>
        <v>162000</v>
      </c>
      <c r="I5" s="28">
        <f>SUMIFS(Budget_Plan!$I$2:$I$16,Budget_Plan!$A$2:$A$16,$A5,Budget_Plan!$B$2:$B$16,TEXT($D$1,"0"))</f>
        <v>144000</v>
      </c>
      <c r="J5" s="28">
        <f>SUMIFS(Budget_Plan!$J$2:$J$16,Budget_Plan!$A$2:$A$16,$A5,Budget_Plan!$B$2:$B$16,TEXT($D$1,"0"))</f>
        <v>144000</v>
      </c>
      <c r="K5" s="28">
        <f>SUMIFS(Budget_Plan!$K$2:$K$16,Budget_Plan!$A$2:$A$16,$A5,Budget_Plan!$B$2:$B$16,TEXT($D$1,"0"))</f>
        <v>162000</v>
      </c>
      <c r="L5" s="28">
        <f>SUMIFS(Budget_Plan!$L$2:$L$16,Budget_Plan!$A$2:$A$16,$A5,Budget_Plan!$B$2:$B$16,TEXT($D$1,"0"))</f>
        <v>162000</v>
      </c>
      <c r="M5" s="28">
        <f>SUMIFS(Budget_Plan!$M$2:$M$16,Budget_Plan!$A$2:$A$16,$A5,Budget_Plan!$B$2:$B$16,TEXT($D$1,"0"))</f>
        <v>180000</v>
      </c>
      <c r="N5" s="28">
        <f>SUMIFS(Budget_Plan!$N$2:$N$16,Budget_Plan!$A$2:$A$16,$A5,Budget_Plan!$B$2:$B$16,TEXT($D$1,"0"))</f>
        <v>216000</v>
      </c>
      <c r="O5" s="29">
        <f t="shared" ref="O5:O6" si="1">SUM(C5:N5)</f>
        <v>1800000</v>
      </c>
    </row>
    <row r="6">
      <c r="A6" s="17" t="str">
        <f>Projects!A2</f>
        <v>P-01</v>
      </c>
      <c r="B6" s="13" t="s">
        <v>181</v>
      </c>
      <c r="C6" s="14">
        <f>SUMIFS(Certificates!$F$2:$F$200,Certificates!$G$2:$G$200,$A6,Certificates!$H$2:$H$200,$D$1,Certificates!$I$2:$I$200,1)</f>
        <v>0</v>
      </c>
      <c r="D6" s="14">
        <f>SUMIFS(Certificates!$F$2:$F$200,Certificates!$G$2:$G$200,$A6,Certificates!$H$2:$H$200,$D$1,Certificates!$I$2:$I$200,2)</f>
        <v>0</v>
      </c>
      <c r="E6" s="14">
        <f>SUMIFS(Certificates!$F$2:$F$200,Certificates!$G$2:$G$200,$A6,Certificates!$H$2:$H$200,$D$1,Certificates!$I$2:$I$200,3)</f>
        <v>148000</v>
      </c>
      <c r="F6" s="14">
        <f>SUMIFS(Certificates!$F$2:$F$200,Certificates!$G$2:$G$200,$A6,Certificates!$H$2:$H$200,$D$1,Certificates!$I$2:$I$200,4)</f>
        <v>140000</v>
      </c>
      <c r="G6" s="14">
        <f>SUMIFS(Certificates!$F$2:$F$200,Certificates!$G$2:$G$200,$A6,Certificates!$H$2:$H$200,$D$1,Certificates!$I$2:$I$200,5)</f>
        <v>163000</v>
      </c>
      <c r="H6" s="14">
        <f>SUMIFS(Certificates!$F$2:$F$200,Certificates!$G$2:$G$200,$A6,Certificates!$H$2:$H$200,$D$1,Certificates!$I$2:$I$200,6)</f>
        <v>136000</v>
      </c>
      <c r="I6" s="14">
        <f>SUMIFS(Certificates!$F$2:$F$200,Certificates!$G$2:$G$200,$A6,Certificates!$H$2:$H$200,$D$1,Certificates!$I$2:$I$200,7)</f>
        <v>158000</v>
      </c>
      <c r="J6" s="14">
        <f>SUMIFS(Certificates!$F$2:$F$200,Certificates!$G$2:$G$200,$A6,Certificates!$H$2:$H$200,$D$1,Certificates!$I$2:$I$200,8)</f>
        <v>150000</v>
      </c>
      <c r="K6" s="14">
        <f>SUMIFS(Certificates!$F$2:$F$200,Certificates!$G$2:$G$200,$A6,Certificates!$H$2:$H$200,$D$1,Certificates!$I$2:$I$200,9)</f>
        <v>135000</v>
      </c>
      <c r="L6" s="14">
        <f>SUMIFS(Certificates!$F$2:$F$200,Certificates!$G$2:$G$200,$A6,Certificates!$H$2:$H$200,$D$1,Certificates!$I$2:$I$200,10)</f>
        <v>156000</v>
      </c>
      <c r="M6" s="14">
        <f>SUMIFS(Certificates!$F$2:$F$200,Certificates!$G$2:$G$200,$A6,Certificates!$H$2:$H$200,$D$1,Certificates!$I$2:$I$200,11)</f>
        <v>134000</v>
      </c>
      <c r="N6" s="14">
        <f>SUMIFS(Certificates!$F$2:$F$200,Certificates!$G$2:$G$200,$A6,Certificates!$H$2:$H$200,$D$1,Certificates!$I$2:$I$200,12)</f>
        <v>330000</v>
      </c>
      <c r="O6" s="30">
        <f t="shared" si="1"/>
        <v>1650000</v>
      </c>
    </row>
    <row r="7">
      <c r="A7" s="17" t="str">
        <f>Projects!A2</f>
        <v>P-01</v>
      </c>
      <c r="B7" s="13" t="s">
        <v>197</v>
      </c>
      <c r="C7" s="15">
        <f t="shared" ref="C7:O7" si="2">C6-C5</f>
        <v>-72000</v>
      </c>
      <c r="D7" s="15">
        <f t="shared" si="2"/>
        <v>-108000</v>
      </c>
      <c r="E7" s="15">
        <f t="shared" si="2"/>
        <v>4000</v>
      </c>
      <c r="F7" s="15">
        <f t="shared" si="2"/>
        <v>-4000</v>
      </c>
      <c r="G7" s="15">
        <f t="shared" si="2"/>
        <v>1000</v>
      </c>
      <c r="H7" s="15">
        <f t="shared" si="2"/>
        <v>-26000</v>
      </c>
      <c r="I7" s="15">
        <f t="shared" si="2"/>
        <v>14000</v>
      </c>
      <c r="J7" s="15">
        <f t="shared" si="2"/>
        <v>6000</v>
      </c>
      <c r="K7" s="15">
        <f t="shared" si="2"/>
        <v>-27000</v>
      </c>
      <c r="L7" s="15">
        <f t="shared" si="2"/>
        <v>-6000</v>
      </c>
      <c r="M7" s="15">
        <f t="shared" si="2"/>
        <v>-46000</v>
      </c>
      <c r="N7" s="15">
        <f t="shared" si="2"/>
        <v>114000</v>
      </c>
      <c r="O7" s="30">
        <f t="shared" si="2"/>
        <v>-150000</v>
      </c>
    </row>
    <row r="8">
      <c r="A8" s="17" t="str">
        <f>Projects!A2</f>
        <v>P-01</v>
      </c>
      <c r="B8" s="13" t="s">
        <v>202</v>
      </c>
      <c r="C8" s="16">
        <f t="shared" ref="C8:N8" si="3">IF(SUM($C5:C5)=0,0,SUM($C6:C6)/SUM($C5:C5))</f>
        <v>0</v>
      </c>
      <c r="D8" s="16">
        <f t="shared" si="3"/>
        <v>0</v>
      </c>
      <c r="E8" s="16">
        <f t="shared" si="3"/>
        <v>0.4567901235</v>
      </c>
      <c r="F8" s="16">
        <f t="shared" si="3"/>
        <v>0.6153846154</v>
      </c>
      <c r="G8" s="16">
        <f t="shared" si="3"/>
        <v>0.7158730159</v>
      </c>
      <c r="H8" s="16">
        <f t="shared" si="3"/>
        <v>0.7411616162</v>
      </c>
      <c r="I8" s="16">
        <f t="shared" si="3"/>
        <v>0.7959401709</v>
      </c>
      <c r="J8" s="16">
        <f t="shared" si="3"/>
        <v>0.8287037037</v>
      </c>
      <c r="K8" s="16">
        <f t="shared" si="3"/>
        <v>0.8293075684</v>
      </c>
      <c r="L8" s="16">
        <f t="shared" si="3"/>
        <v>0.8447293447</v>
      </c>
      <c r="M8" s="16">
        <f t="shared" si="3"/>
        <v>0.8333333333</v>
      </c>
      <c r="N8" s="16">
        <f t="shared" si="3"/>
        <v>0.9166666667</v>
      </c>
      <c r="O8" s="31">
        <f>IF(O5=0,0,O6/O5)</f>
        <v>0.9166666667</v>
      </c>
    </row>
    <row r="10">
      <c r="A10" s="26" t="str">
        <f>Projects!A3</f>
        <v>P-02</v>
      </c>
      <c r="B10" s="27" t="s">
        <v>162</v>
      </c>
      <c r="C10" s="28">
        <f>SUMIFS(Budget_Plan!$C$2:$C$16,Budget_Plan!$A$2:$A$16,$A10,Budget_Plan!$B$2:$B$16,TEXT($D$1,"0"))</f>
        <v>120000</v>
      </c>
      <c r="D10" s="28">
        <f>SUMIFS(Budget_Plan!$D$2:$D$16,Budget_Plan!$A$2:$A$16,$A10,Budget_Plan!$B$2:$B$16,TEXT($D$1,"0"))</f>
        <v>180000</v>
      </c>
      <c r="E10" s="28">
        <f>SUMIFS(Budget_Plan!$E$2:$E$16,Budget_Plan!$A$2:$A$16,$A10,Budget_Plan!$B$2:$B$16,TEXT($D$1,"0"))</f>
        <v>240000</v>
      </c>
      <c r="F10" s="28">
        <f>SUMIFS(Budget_Plan!$F$2:$F$16,Budget_Plan!$A$2:$A$16,$A10,Budget_Plan!$B$2:$B$16,TEXT($D$1,"0"))</f>
        <v>240000</v>
      </c>
      <c r="G10" s="28">
        <f>SUMIFS(Budget_Plan!$G$2:$G$16,Budget_Plan!$A$2:$A$16,$A10,Budget_Plan!$B$2:$B$16,TEXT($D$1,"0"))</f>
        <v>270000</v>
      </c>
      <c r="H10" s="28">
        <f>SUMIFS(Budget_Plan!$H$2:$H$16,Budget_Plan!$A$2:$A$16,$A10,Budget_Plan!$B$2:$B$16,TEXT($D$1,"0"))</f>
        <v>270000</v>
      </c>
      <c r="I10" s="28">
        <f>SUMIFS(Budget_Plan!$I$2:$I$16,Budget_Plan!$A$2:$A$16,$A10,Budget_Plan!$B$2:$B$16,TEXT($D$1,"0"))</f>
        <v>240000</v>
      </c>
      <c r="J10" s="28">
        <f>SUMIFS(Budget_Plan!$J$2:$J$16,Budget_Plan!$A$2:$A$16,$A10,Budget_Plan!$B$2:$B$16,TEXT($D$1,"0"))</f>
        <v>240000</v>
      </c>
      <c r="K10" s="28">
        <f>SUMIFS(Budget_Plan!$K$2:$K$16,Budget_Plan!$A$2:$A$16,$A10,Budget_Plan!$B$2:$B$16,TEXT($D$1,"0"))</f>
        <v>270000</v>
      </c>
      <c r="L10" s="28">
        <f>SUMIFS(Budget_Plan!$L$2:$L$16,Budget_Plan!$A$2:$A$16,$A10,Budget_Plan!$B$2:$B$16,TEXT($D$1,"0"))</f>
        <v>270000</v>
      </c>
      <c r="M10" s="28">
        <f>SUMIFS(Budget_Plan!$M$2:$M$16,Budget_Plan!$A$2:$A$16,$A10,Budget_Plan!$B$2:$B$16,TEXT($D$1,"0"))</f>
        <v>300000</v>
      </c>
      <c r="N10" s="28">
        <f>SUMIFS(Budget_Plan!$N$2:$N$16,Budget_Plan!$A$2:$A$16,$A10,Budget_Plan!$B$2:$B$16,TEXT($D$1,"0"))</f>
        <v>360000</v>
      </c>
      <c r="O10" s="29">
        <f t="shared" ref="O10:O11" si="4">SUM(C10:N10)</f>
        <v>3000000</v>
      </c>
    </row>
    <row r="11">
      <c r="A11" s="17" t="str">
        <f>Projects!A3</f>
        <v>P-02</v>
      </c>
      <c r="B11" s="13" t="s">
        <v>181</v>
      </c>
      <c r="C11" s="14">
        <f>SUMIFS(Certificates!$F$2:$F$200,Certificates!$G$2:$G$200,$A11,Certificates!$H$2:$H$200,$D$1,Certificates!$I$2:$I$200,1)</f>
        <v>0</v>
      </c>
      <c r="D11" s="14">
        <f>SUMIFS(Certificates!$F$2:$F$200,Certificates!$G$2:$G$200,$A11,Certificates!$H$2:$H$200,$D$1,Certificates!$I$2:$I$200,2)</f>
        <v>214000</v>
      </c>
      <c r="E11" s="14">
        <f>SUMIFS(Certificates!$F$2:$F$200,Certificates!$G$2:$G$200,$A11,Certificates!$H$2:$H$200,$D$1,Certificates!$I$2:$I$200,3)</f>
        <v>242000</v>
      </c>
      <c r="F11" s="14">
        <f>SUMIFS(Certificates!$F$2:$F$200,Certificates!$G$2:$G$200,$A11,Certificates!$H$2:$H$200,$D$1,Certificates!$I$2:$I$200,4)</f>
        <v>246000</v>
      </c>
      <c r="G11" s="14">
        <f>SUMIFS(Certificates!$F$2:$F$200,Certificates!$G$2:$G$200,$A11,Certificates!$H$2:$H$200,$D$1,Certificates!$I$2:$I$200,5)</f>
        <v>227000</v>
      </c>
      <c r="H11" s="14">
        <f>SUMIFS(Certificates!$F$2:$F$200,Certificates!$G$2:$G$200,$A11,Certificates!$H$2:$H$200,$D$1,Certificates!$I$2:$I$200,6)</f>
        <v>240000</v>
      </c>
      <c r="I11" s="14">
        <f>SUMIFS(Certificates!$F$2:$F$200,Certificates!$G$2:$G$200,$A11,Certificates!$H$2:$H$200,$D$1,Certificates!$I$2:$I$200,7)</f>
        <v>205000</v>
      </c>
      <c r="J11" s="14">
        <f>SUMIFS(Certificates!$F$2:$F$200,Certificates!$G$2:$G$200,$A11,Certificates!$H$2:$H$200,$D$1,Certificates!$I$2:$I$200,8)</f>
        <v>205000</v>
      </c>
      <c r="K11" s="14">
        <f>SUMIFS(Certificates!$F$2:$F$200,Certificates!$G$2:$G$200,$A11,Certificates!$H$2:$H$200,$D$1,Certificates!$I$2:$I$200,9)</f>
        <v>216000</v>
      </c>
      <c r="L11" s="14">
        <f>SUMIFS(Certificates!$F$2:$F$200,Certificates!$G$2:$G$200,$A11,Certificates!$H$2:$H$200,$D$1,Certificates!$I$2:$I$200,10)</f>
        <v>249000</v>
      </c>
      <c r="M11" s="14">
        <f>SUMIFS(Certificates!$F$2:$F$200,Certificates!$G$2:$G$200,$A11,Certificates!$H$2:$H$200,$D$1,Certificates!$I$2:$I$200,11)</f>
        <v>231000</v>
      </c>
      <c r="N11" s="14">
        <f>SUMIFS(Certificates!$F$2:$F$200,Certificates!$G$2:$G$200,$A11,Certificates!$H$2:$H$200,$D$1,Certificates!$I$2:$I$200,12)</f>
        <v>325000</v>
      </c>
      <c r="O11" s="30">
        <f t="shared" si="4"/>
        <v>2600000</v>
      </c>
    </row>
    <row r="12">
      <c r="A12" s="17" t="str">
        <f>Projects!A3</f>
        <v>P-02</v>
      </c>
      <c r="B12" s="13" t="s">
        <v>197</v>
      </c>
      <c r="C12" s="15">
        <f t="shared" ref="C12:O12" si="5">C11-C10</f>
        <v>-120000</v>
      </c>
      <c r="D12" s="15">
        <f t="shared" si="5"/>
        <v>34000</v>
      </c>
      <c r="E12" s="15">
        <f t="shared" si="5"/>
        <v>2000</v>
      </c>
      <c r="F12" s="15">
        <f t="shared" si="5"/>
        <v>6000</v>
      </c>
      <c r="G12" s="15">
        <f t="shared" si="5"/>
        <v>-43000</v>
      </c>
      <c r="H12" s="15">
        <f t="shared" si="5"/>
        <v>-30000</v>
      </c>
      <c r="I12" s="15">
        <f t="shared" si="5"/>
        <v>-35000</v>
      </c>
      <c r="J12" s="15">
        <f t="shared" si="5"/>
        <v>-35000</v>
      </c>
      <c r="K12" s="15">
        <f t="shared" si="5"/>
        <v>-54000</v>
      </c>
      <c r="L12" s="15">
        <f t="shared" si="5"/>
        <v>-21000</v>
      </c>
      <c r="M12" s="15">
        <f t="shared" si="5"/>
        <v>-69000</v>
      </c>
      <c r="N12" s="15">
        <f t="shared" si="5"/>
        <v>-35000</v>
      </c>
      <c r="O12" s="30">
        <f t="shared" si="5"/>
        <v>-400000</v>
      </c>
    </row>
    <row r="13">
      <c r="A13" s="17" t="str">
        <f>Projects!A3</f>
        <v>P-02</v>
      </c>
      <c r="B13" s="13" t="s">
        <v>202</v>
      </c>
      <c r="C13" s="16">
        <f t="shared" ref="C13:N13" si="6">IF(SUM($C10:C10)=0,0,SUM($C11:C11)/SUM($C10:C10))</f>
        <v>0</v>
      </c>
      <c r="D13" s="16">
        <f t="shared" si="6"/>
        <v>0.7133333333</v>
      </c>
      <c r="E13" s="16">
        <f t="shared" si="6"/>
        <v>0.8444444444</v>
      </c>
      <c r="F13" s="16">
        <f t="shared" si="6"/>
        <v>0.9</v>
      </c>
      <c r="G13" s="16">
        <f t="shared" si="6"/>
        <v>0.8847619048</v>
      </c>
      <c r="H13" s="16">
        <f t="shared" si="6"/>
        <v>0.8856060606</v>
      </c>
      <c r="I13" s="16">
        <f t="shared" si="6"/>
        <v>0.8807692308</v>
      </c>
      <c r="J13" s="16">
        <f t="shared" si="6"/>
        <v>0.8772222222</v>
      </c>
      <c r="K13" s="16">
        <f t="shared" si="6"/>
        <v>0.8671497585</v>
      </c>
      <c r="L13" s="16">
        <f t="shared" si="6"/>
        <v>0.8735042735</v>
      </c>
      <c r="M13" s="16">
        <f t="shared" si="6"/>
        <v>0.8617424242</v>
      </c>
      <c r="N13" s="16">
        <f t="shared" si="6"/>
        <v>0.8666666667</v>
      </c>
      <c r="O13" s="31">
        <f>IF(O10=0,0,O11/O10)</f>
        <v>0.8666666667</v>
      </c>
    </row>
    <row r="15">
      <c r="A15" s="26" t="str">
        <f>Projects!A4</f>
        <v>P-03</v>
      </c>
      <c r="B15" s="27" t="s">
        <v>162</v>
      </c>
      <c r="C15" s="28">
        <f>SUMIFS(Budget_Plan!$C$2:$C$16,Budget_Plan!$A$2:$A$16,$A15,Budget_Plan!$B$2:$B$16,TEXT($D$1,"0"))</f>
        <v>48000</v>
      </c>
      <c r="D15" s="28">
        <f>SUMIFS(Budget_Plan!$D$2:$D$16,Budget_Plan!$A$2:$A$16,$A15,Budget_Plan!$B$2:$B$16,TEXT($D$1,"0"))</f>
        <v>72000</v>
      </c>
      <c r="E15" s="28">
        <f>SUMIFS(Budget_Plan!$E$2:$E$16,Budget_Plan!$A$2:$A$16,$A15,Budget_Plan!$B$2:$B$16,TEXT($D$1,"0"))</f>
        <v>96000</v>
      </c>
      <c r="F15" s="28">
        <f>SUMIFS(Budget_Plan!$F$2:$F$16,Budget_Plan!$A$2:$A$16,$A15,Budget_Plan!$B$2:$B$16,TEXT($D$1,"0"))</f>
        <v>96000</v>
      </c>
      <c r="G15" s="28">
        <f>SUMIFS(Budget_Plan!$G$2:$G$16,Budget_Plan!$A$2:$A$16,$A15,Budget_Plan!$B$2:$B$16,TEXT($D$1,"0"))</f>
        <v>108000</v>
      </c>
      <c r="H15" s="28">
        <f>SUMIFS(Budget_Plan!$H$2:$H$16,Budget_Plan!$A$2:$A$16,$A15,Budget_Plan!$B$2:$B$16,TEXT($D$1,"0"))</f>
        <v>108000</v>
      </c>
      <c r="I15" s="28">
        <f>SUMIFS(Budget_Plan!$I$2:$I$16,Budget_Plan!$A$2:$A$16,$A15,Budget_Plan!$B$2:$B$16,TEXT($D$1,"0"))</f>
        <v>96000</v>
      </c>
      <c r="J15" s="28">
        <f>SUMIFS(Budget_Plan!$J$2:$J$16,Budget_Plan!$A$2:$A$16,$A15,Budget_Plan!$B$2:$B$16,TEXT($D$1,"0"))</f>
        <v>96000</v>
      </c>
      <c r="K15" s="28">
        <f>SUMIFS(Budget_Plan!$K$2:$K$16,Budget_Plan!$A$2:$A$16,$A15,Budget_Plan!$B$2:$B$16,TEXT($D$1,"0"))</f>
        <v>108000</v>
      </c>
      <c r="L15" s="28">
        <f>SUMIFS(Budget_Plan!$L$2:$L$16,Budget_Plan!$A$2:$A$16,$A15,Budget_Plan!$B$2:$B$16,TEXT($D$1,"0"))</f>
        <v>108000</v>
      </c>
      <c r="M15" s="28">
        <f>SUMIFS(Budget_Plan!$M$2:$M$16,Budget_Plan!$A$2:$A$16,$A15,Budget_Plan!$B$2:$B$16,TEXT($D$1,"0"))</f>
        <v>120000</v>
      </c>
      <c r="N15" s="28">
        <f>SUMIFS(Budget_Plan!$N$2:$N$16,Budget_Plan!$A$2:$A$16,$A15,Budget_Plan!$B$2:$B$16,TEXT($D$1,"0"))</f>
        <v>144000</v>
      </c>
      <c r="O15" s="29">
        <f t="shared" ref="O15:O16" si="7">SUM(C15:N15)</f>
        <v>1200000</v>
      </c>
    </row>
    <row r="16">
      <c r="A16" s="17" t="str">
        <f>Projects!A4</f>
        <v>P-03</v>
      </c>
      <c r="B16" s="13" t="s">
        <v>181</v>
      </c>
      <c r="C16" s="14">
        <f>SUMIFS(Certificates!$F$2:$F$200,Certificates!$G$2:$G$200,$A16,Certificates!$H$2:$H$200,$D$1,Certificates!$I$2:$I$200,1)</f>
        <v>0</v>
      </c>
      <c r="D16" s="14">
        <f>SUMIFS(Certificates!$F$2:$F$200,Certificates!$G$2:$G$200,$A16,Certificates!$H$2:$H$200,$D$1,Certificates!$I$2:$I$200,2)</f>
        <v>0</v>
      </c>
      <c r="E16" s="14">
        <f>SUMIFS(Certificates!$F$2:$F$200,Certificates!$G$2:$G$200,$A16,Certificates!$H$2:$H$200,$D$1,Certificates!$I$2:$I$200,3)</f>
        <v>0</v>
      </c>
      <c r="F16" s="14">
        <f>SUMIFS(Certificates!$F$2:$F$200,Certificates!$G$2:$G$200,$A16,Certificates!$H$2:$H$200,$D$1,Certificates!$I$2:$I$200,4)</f>
        <v>0</v>
      </c>
      <c r="G16" s="14">
        <f>SUMIFS(Certificates!$F$2:$F$200,Certificates!$G$2:$G$200,$A16,Certificates!$H$2:$H$200,$D$1,Certificates!$I$2:$I$200,5)</f>
        <v>113000</v>
      </c>
      <c r="H16" s="14">
        <f>SUMIFS(Certificates!$F$2:$F$200,Certificates!$G$2:$G$200,$A16,Certificates!$H$2:$H$200,$D$1,Certificates!$I$2:$I$200,6)</f>
        <v>138000</v>
      </c>
      <c r="I16" s="14">
        <f>SUMIFS(Certificates!$F$2:$F$200,Certificates!$G$2:$G$200,$A16,Certificates!$H$2:$H$200,$D$1,Certificates!$I$2:$I$200,7)</f>
        <v>142000</v>
      </c>
      <c r="J16" s="14">
        <f>SUMIFS(Certificates!$F$2:$F$200,Certificates!$G$2:$G$200,$A16,Certificates!$H$2:$H$200,$D$1,Certificates!$I$2:$I$200,8)</f>
        <v>134000</v>
      </c>
      <c r="K16" s="14">
        <f>SUMIFS(Certificates!$F$2:$F$200,Certificates!$G$2:$G$200,$A16,Certificates!$H$2:$H$200,$D$1,Certificates!$I$2:$I$200,9)</f>
        <v>146000</v>
      </c>
      <c r="L16" s="14">
        <f>SUMIFS(Certificates!$F$2:$F$200,Certificates!$G$2:$G$200,$A16,Certificates!$H$2:$H$200,$D$1,Certificates!$I$2:$I$200,10)</f>
        <v>124000</v>
      </c>
      <c r="M16" s="14">
        <f>SUMIFS(Certificates!$F$2:$F$200,Certificates!$G$2:$G$200,$A16,Certificates!$H$2:$H$200,$D$1,Certificates!$I$2:$I$200,11)</f>
        <v>139000</v>
      </c>
      <c r="N16" s="14">
        <f>SUMIFS(Certificates!$F$2:$F$200,Certificates!$G$2:$G$200,$A16,Certificates!$H$2:$H$200,$D$1,Certificates!$I$2:$I$200,12)</f>
        <v>114000</v>
      </c>
      <c r="O16" s="30">
        <f t="shared" si="7"/>
        <v>1050000</v>
      </c>
    </row>
    <row r="17">
      <c r="A17" s="17" t="str">
        <f>Projects!A4</f>
        <v>P-03</v>
      </c>
      <c r="B17" s="13" t="s">
        <v>197</v>
      </c>
      <c r="C17" s="15">
        <f t="shared" ref="C17:O17" si="8">C16-C15</f>
        <v>-48000</v>
      </c>
      <c r="D17" s="15">
        <f t="shared" si="8"/>
        <v>-72000</v>
      </c>
      <c r="E17" s="15">
        <f t="shared" si="8"/>
        <v>-96000</v>
      </c>
      <c r="F17" s="15">
        <f t="shared" si="8"/>
        <v>-96000</v>
      </c>
      <c r="G17" s="15">
        <f t="shared" si="8"/>
        <v>5000</v>
      </c>
      <c r="H17" s="15">
        <f t="shared" si="8"/>
        <v>30000</v>
      </c>
      <c r="I17" s="15">
        <f t="shared" si="8"/>
        <v>46000</v>
      </c>
      <c r="J17" s="15">
        <f t="shared" si="8"/>
        <v>38000</v>
      </c>
      <c r="K17" s="15">
        <f t="shared" si="8"/>
        <v>38000</v>
      </c>
      <c r="L17" s="15">
        <f t="shared" si="8"/>
        <v>16000</v>
      </c>
      <c r="M17" s="15">
        <f t="shared" si="8"/>
        <v>19000</v>
      </c>
      <c r="N17" s="15">
        <f t="shared" si="8"/>
        <v>-30000</v>
      </c>
      <c r="O17" s="30">
        <f t="shared" si="8"/>
        <v>-150000</v>
      </c>
    </row>
    <row r="18">
      <c r="A18" s="17" t="str">
        <f>Projects!A4</f>
        <v>P-03</v>
      </c>
      <c r="B18" s="13" t="s">
        <v>202</v>
      </c>
      <c r="C18" s="16">
        <f t="shared" ref="C18:N18" si="9">IF(SUM($C15:C15)=0,0,SUM($C16:C16)/SUM($C15:C15))</f>
        <v>0</v>
      </c>
      <c r="D18" s="16">
        <f t="shared" si="9"/>
        <v>0</v>
      </c>
      <c r="E18" s="16">
        <f t="shared" si="9"/>
        <v>0</v>
      </c>
      <c r="F18" s="16">
        <f t="shared" si="9"/>
        <v>0</v>
      </c>
      <c r="G18" s="16">
        <f t="shared" si="9"/>
        <v>0.269047619</v>
      </c>
      <c r="H18" s="16">
        <f t="shared" si="9"/>
        <v>0.4753787879</v>
      </c>
      <c r="I18" s="16">
        <f t="shared" si="9"/>
        <v>0.6298076923</v>
      </c>
      <c r="J18" s="16">
        <f t="shared" si="9"/>
        <v>0.7319444444</v>
      </c>
      <c r="K18" s="16">
        <f t="shared" si="9"/>
        <v>0.8128019324</v>
      </c>
      <c r="L18" s="16">
        <f t="shared" si="9"/>
        <v>0.8514957265</v>
      </c>
      <c r="M18" s="16">
        <f t="shared" si="9"/>
        <v>0.8863636364</v>
      </c>
      <c r="N18" s="16">
        <f t="shared" si="9"/>
        <v>0.875</v>
      </c>
      <c r="O18" s="31">
        <f>IF(O15=0,0,O16/O15)</f>
        <v>0.875</v>
      </c>
    </row>
    <row r="20">
      <c r="A20" s="26" t="str">
        <f>Projects!A5</f>
        <v>P-04</v>
      </c>
      <c r="B20" s="27" t="s">
        <v>162</v>
      </c>
      <c r="C20" s="28">
        <f>SUMIFS(Budget_Plan!$C$2:$C$16,Budget_Plan!$A$2:$A$16,$A20,Budget_Plan!$B$2:$B$16,TEXT($D$1,"0"))</f>
        <v>0</v>
      </c>
      <c r="D20" s="28">
        <f>SUMIFS(Budget_Plan!$D$2:$D$16,Budget_Plan!$A$2:$A$16,$A20,Budget_Plan!$B$2:$B$16,TEXT($D$1,"0"))</f>
        <v>0</v>
      </c>
      <c r="E20" s="28">
        <f>SUMIFS(Budget_Plan!$E$2:$E$16,Budget_Plan!$A$2:$A$16,$A20,Budget_Plan!$B$2:$B$16,TEXT($D$1,"0"))</f>
        <v>0</v>
      </c>
      <c r="F20" s="28">
        <f>SUMIFS(Budget_Plan!$F$2:$F$16,Budget_Plan!$A$2:$A$16,$A20,Budget_Plan!$B$2:$B$16,TEXT($D$1,"0"))</f>
        <v>0</v>
      </c>
      <c r="G20" s="28">
        <f>SUMIFS(Budget_Plan!$G$2:$G$16,Budget_Plan!$A$2:$A$16,$A20,Budget_Plan!$B$2:$B$16,TEXT($D$1,"0"))</f>
        <v>0</v>
      </c>
      <c r="H20" s="28">
        <f>SUMIFS(Budget_Plan!$H$2:$H$16,Budget_Plan!$A$2:$A$16,$A20,Budget_Plan!$B$2:$B$16,TEXT($D$1,"0"))</f>
        <v>0</v>
      </c>
      <c r="I20" s="28">
        <f>SUMIFS(Budget_Plan!$I$2:$I$16,Budget_Plan!$A$2:$A$16,$A20,Budget_Plan!$B$2:$B$16,TEXT($D$1,"0"))</f>
        <v>0</v>
      </c>
      <c r="J20" s="28">
        <f>SUMIFS(Budget_Plan!$J$2:$J$16,Budget_Plan!$A$2:$A$16,$A20,Budget_Plan!$B$2:$B$16,TEXT($D$1,"0"))</f>
        <v>0</v>
      </c>
      <c r="K20" s="28">
        <f>SUMIFS(Budget_Plan!$K$2:$K$16,Budget_Plan!$A$2:$A$16,$A20,Budget_Plan!$B$2:$B$16,TEXT($D$1,"0"))</f>
        <v>0</v>
      </c>
      <c r="L20" s="28">
        <f>SUMIFS(Budget_Plan!$L$2:$L$16,Budget_Plan!$A$2:$A$16,$A20,Budget_Plan!$B$2:$B$16,TEXT($D$1,"0"))</f>
        <v>0</v>
      </c>
      <c r="M20" s="28">
        <f>SUMIFS(Budget_Plan!$M$2:$M$16,Budget_Plan!$A$2:$A$16,$A20,Budget_Plan!$B$2:$B$16,TEXT($D$1,"0"))</f>
        <v>0</v>
      </c>
      <c r="N20" s="28">
        <f>SUMIFS(Budget_Plan!$N$2:$N$16,Budget_Plan!$A$2:$A$16,$A20,Budget_Plan!$B$2:$B$16,TEXT($D$1,"0"))</f>
        <v>0</v>
      </c>
      <c r="O20" s="29">
        <f t="shared" ref="O20:O21" si="10">SUM(C20:N20)</f>
        <v>0</v>
      </c>
    </row>
    <row r="21" ht="15.75" customHeight="1">
      <c r="A21" s="17" t="str">
        <f>Projects!A5</f>
        <v>P-04</v>
      </c>
      <c r="B21" s="13" t="s">
        <v>181</v>
      </c>
      <c r="C21" s="14">
        <f>SUMIFS(Certificates!$F$2:$F$200,Certificates!$G$2:$G$200,$A21,Certificates!$H$2:$H$200,$D$1,Certificates!$I$2:$I$200,1)</f>
        <v>0</v>
      </c>
      <c r="D21" s="14">
        <f>SUMIFS(Certificates!$F$2:$F$200,Certificates!$G$2:$G$200,$A21,Certificates!$H$2:$H$200,$D$1,Certificates!$I$2:$I$200,2)</f>
        <v>0</v>
      </c>
      <c r="E21" s="14">
        <f>SUMIFS(Certificates!$F$2:$F$200,Certificates!$G$2:$G$200,$A21,Certificates!$H$2:$H$200,$D$1,Certificates!$I$2:$I$200,3)</f>
        <v>0</v>
      </c>
      <c r="F21" s="14">
        <f>SUMIFS(Certificates!$F$2:$F$200,Certificates!$G$2:$G$200,$A21,Certificates!$H$2:$H$200,$D$1,Certificates!$I$2:$I$200,4)</f>
        <v>0</v>
      </c>
      <c r="G21" s="14">
        <f>SUMIFS(Certificates!$F$2:$F$200,Certificates!$G$2:$G$200,$A21,Certificates!$H$2:$H$200,$D$1,Certificates!$I$2:$I$200,5)</f>
        <v>0</v>
      </c>
      <c r="H21" s="14">
        <f>SUMIFS(Certificates!$F$2:$F$200,Certificates!$G$2:$G$200,$A21,Certificates!$H$2:$H$200,$D$1,Certificates!$I$2:$I$200,6)</f>
        <v>0</v>
      </c>
      <c r="I21" s="14">
        <f>SUMIFS(Certificates!$F$2:$F$200,Certificates!$G$2:$G$200,$A21,Certificates!$H$2:$H$200,$D$1,Certificates!$I$2:$I$200,7)</f>
        <v>0</v>
      </c>
      <c r="J21" s="14">
        <f>SUMIFS(Certificates!$F$2:$F$200,Certificates!$G$2:$G$200,$A21,Certificates!$H$2:$H$200,$D$1,Certificates!$I$2:$I$200,8)</f>
        <v>0</v>
      </c>
      <c r="K21" s="14">
        <f>SUMIFS(Certificates!$F$2:$F$200,Certificates!$G$2:$G$200,$A21,Certificates!$H$2:$H$200,$D$1,Certificates!$I$2:$I$200,9)</f>
        <v>0</v>
      </c>
      <c r="L21" s="14">
        <f>SUMIFS(Certificates!$F$2:$F$200,Certificates!$G$2:$G$200,$A21,Certificates!$H$2:$H$200,$D$1,Certificates!$I$2:$I$200,10)</f>
        <v>0</v>
      </c>
      <c r="M21" s="14">
        <f>SUMIFS(Certificates!$F$2:$F$200,Certificates!$G$2:$G$200,$A21,Certificates!$H$2:$H$200,$D$1,Certificates!$I$2:$I$200,11)</f>
        <v>0</v>
      </c>
      <c r="N21" s="14">
        <f>SUMIFS(Certificates!$F$2:$F$200,Certificates!$G$2:$G$200,$A21,Certificates!$H$2:$H$200,$D$1,Certificates!$I$2:$I$200,12)</f>
        <v>0</v>
      </c>
      <c r="O21" s="30">
        <f t="shared" si="10"/>
        <v>0</v>
      </c>
    </row>
    <row r="22" ht="15.75" customHeight="1">
      <c r="A22" s="17" t="str">
        <f>Projects!A5</f>
        <v>P-04</v>
      </c>
      <c r="B22" s="13" t="s">
        <v>197</v>
      </c>
      <c r="C22" s="15">
        <f t="shared" ref="C22:O22" si="11">C21-C20</f>
        <v>0</v>
      </c>
      <c r="D22" s="15">
        <f t="shared" si="11"/>
        <v>0</v>
      </c>
      <c r="E22" s="15">
        <f t="shared" si="11"/>
        <v>0</v>
      </c>
      <c r="F22" s="15">
        <f t="shared" si="11"/>
        <v>0</v>
      </c>
      <c r="G22" s="15">
        <f t="shared" si="11"/>
        <v>0</v>
      </c>
      <c r="H22" s="15">
        <f t="shared" si="11"/>
        <v>0</v>
      </c>
      <c r="I22" s="15">
        <f t="shared" si="11"/>
        <v>0</v>
      </c>
      <c r="J22" s="15">
        <f t="shared" si="11"/>
        <v>0</v>
      </c>
      <c r="K22" s="15">
        <f t="shared" si="11"/>
        <v>0</v>
      </c>
      <c r="L22" s="15">
        <f t="shared" si="11"/>
        <v>0</v>
      </c>
      <c r="M22" s="15">
        <f t="shared" si="11"/>
        <v>0</v>
      </c>
      <c r="N22" s="15">
        <f t="shared" si="11"/>
        <v>0</v>
      </c>
      <c r="O22" s="30">
        <f t="shared" si="11"/>
        <v>0</v>
      </c>
    </row>
    <row r="23" ht="15.75" customHeight="1">
      <c r="A23" s="17" t="str">
        <f>Projects!A5</f>
        <v>P-04</v>
      </c>
      <c r="B23" s="13" t="s">
        <v>202</v>
      </c>
      <c r="C23" s="16">
        <f t="shared" ref="C23:N23" si="12">IF(SUM($C20:C20)=0,0,SUM($C21:C21)/SUM($C20:C20))</f>
        <v>0</v>
      </c>
      <c r="D23" s="16">
        <f t="shared" si="12"/>
        <v>0</v>
      </c>
      <c r="E23" s="16">
        <f t="shared" si="12"/>
        <v>0</v>
      </c>
      <c r="F23" s="16">
        <f t="shared" si="12"/>
        <v>0</v>
      </c>
      <c r="G23" s="16">
        <f t="shared" si="12"/>
        <v>0</v>
      </c>
      <c r="H23" s="16">
        <f t="shared" si="12"/>
        <v>0</v>
      </c>
      <c r="I23" s="16">
        <f t="shared" si="12"/>
        <v>0</v>
      </c>
      <c r="J23" s="16">
        <f t="shared" si="12"/>
        <v>0</v>
      </c>
      <c r="K23" s="16">
        <f t="shared" si="12"/>
        <v>0</v>
      </c>
      <c r="L23" s="16">
        <f t="shared" si="12"/>
        <v>0</v>
      </c>
      <c r="M23" s="16">
        <f t="shared" si="12"/>
        <v>0</v>
      </c>
      <c r="N23" s="16">
        <f t="shared" si="12"/>
        <v>0</v>
      </c>
      <c r="O23" s="31">
        <f>IF(O20=0,0,O21/O20)</f>
        <v>0</v>
      </c>
    </row>
    <row r="24" ht="15.75" customHeight="1"/>
    <row r="25" ht="15.75" customHeight="1">
      <c r="A25" s="26" t="str">
        <f>Projects!A6</f>
        <v>P-05</v>
      </c>
      <c r="B25" s="27" t="s">
        <v>162</v>
      </c>
      <c r="C25" s="28">
        <f>SUMIFS(Budget_Plan!$C$2:$C$16,Budget_Plan!$A$2:$A$16,$A25,Budget_Plan!$B$2:$B$16,TEXT($D$1,"0"))</f>
        <v>36000</v>
      </c>
      <c r="D25" s="28">
        <f>SUMIFS(Budget_Plan!$D$2:$D$16,Budget_Plan!$A$2:$A$16,$A25,Budget_Plan!$B$2:$B$16,TEXT($D$1,"0"))</f>
        <v>54000</v>
      </c>
      <c r="E25" s="28">
        <f>SUMIFS(Budget_Plan!$E$2:$E$16,Budget_Plan!$A$2:$A$16,$A25,Budget_Plan!$B$2:$B$16,TEXT($D$1,"0"))</f>
        <v>72000</v>
      </c>
      <c r="F25" s="28">
        <f>SUMIFS(Budget_Plan!$F$2:$F$16,Budget_Plan!$A$2:$A$16,$A25,Budget_Plan!$B$2:$B$16,TEXT($D$1,"0"))</f>
        <v>72000</v>
      </c>
      <c r="G25" s="28">
        <f>SUMIFS(Budget_Plan!$G$2:$G$16,Budget_Plan!$A$2:$A$16,$A25,Budget_Plan!$B$2:$B$16,TEXT($D$1,"0"))</f>
        <v>81000</v>
      </c>
      <c r="H25" s="28">
        <f>SUMIFS(Budget_Plan!$H$2:$H$16,Budget_Plan!$A$2:$A$16,$A25,Budget_Plan!$B$2:$B$16,TEXT($D$1,"0"))</f>
        <v>81000</v>
      </c>
      <c r="I25" s="28">
        <f>SUMIFS(Budget_Plan!$I$2:$I$16,Budget_Plan!$A$2:$A$16,$A25,Budget_Plan!$B$2:$B$16,TEXT($D$1,"0"))</f>
        <v>72000</v>
      </c>
      <c r="J25" s="28">
        <f>SUMIFS(Budget_Plan!$J$2:$J$16,Budget_Plan!$A$2:$A$16,$A25,Budget_Plan!$B$2:$B$16,TEXT($D$1,"0"))</f>
        <v>72000</v>
      </c>
      <c r="K25" s="28">
        <f>SUMIFS(Budget_Plan!$K$2:$K$16,Budget_Plan!$A$2:$A$16,$A25,Budget_Plan!$B$2:$B$16,TEXT($D$1,"0"))</f>
        <v>81000</v>
      </c>
      <c r="L25" s="28">
        <f>SUMIFS(Budget_Plan!$L$2:$L$16,Budget_Plan!$A$2:$A$16,$A25,Budget_Plan!$B$2:$B$16,TEXT($D$1,"0"))</f>
        <v>81000</v>
      </c>
      <c r="M25" s="28">
        <f>SUMIFS(Budget_Plan!$M$2:$M$16,Budget_Plan!$A$2:$A$16,$A25,Budget_Plan!$B$2:$B$16,TEXT($D$1,"0"))</f>
        <v>90000</v>
      </c>
      <c r="N25" s="28">
        <f>SUMIFS(Budget_Plan!$N$2:$N$16,Budget_Plan!$A$2:$A$16,$A25,Budget_Plan!$B$2:$B$16,TEXT($D$1,"0"))</f>
        <v>108000</v>
      </c>
      <c r="O25" s="29">
        <f t="shared" ref="O25:O26" si="13">SUM(C25:N25)</f>
        <v>900000</v>
      </c>
    </row>
    <row r="26" ht="15.75" customHeight="1">
      <c r="A26" s="17" t="str">
        <f>Projects!A6</f>
        <v>P-05</v>
      </c>
      <c r="B26" s="13" t="s">
        <v>181</v>
      </c>
      <c r="C26" s="14">
        <f>SUMIFS(Certificates!$F$2:$F$200,Certificates!$G$2:$G$200,$A26,Certificates!$H$2:$H$200,$D$1,Certificates!$I$2:$I$200,1)</f>
        <v>0</v>
      </c>
      <c r="D26" s="14">
        <f>SUMIFS(Certificates!$F$2:$F$200,Certificates!$G$2:$G$200,$A26,Certificates!$H$2:$H$200,$D$1,Certificates!$I$2:$I$200,2)</f>
        <v>0</v>
      </c>
      <c r="E26" s="14">
        <f>SUMIFS(Certificates!$F$2:$F$200,Certificates!$G$2:$G$200,$A26,Certificates!$H$2:$H$200,$D$1,Certificates!$I$2:$I$200,3)</f>
        <v>0</v>
      </c>
      <c r="F26" s="14">
        <f>SUMIFS(Certificates!$F$2:$F$200,Certificates!$G$2:$G$200,$A26,Certificates!$H$2:$H$200,$D$1,Certificates!$I$2:$I$200,4)</f>
        <v>0</v>
      </c>
      <c r="G26" s="14">
        <f>SUMIFS(Certificates!$F$2:$F$200,Certificates!$G$2:$G$200,$A26,Certificates!$H$2:$H$200,$D$1,Certificates!$I$2:$I$200,5)</f>
        <v>0</v>
      </c>
      <c r="H26" s="14">
        <f>SUMIFS(Certificates!$F$2:$F$200,Certificates!$G$2:$G$200,$A26,Certificates!$H$2:$H$200,$D$1,Certificates!$I$2:$I$200,6)</f>
        <v>276000</v>
      </c>
      <c r="I26" s="14">
        <f>SUMIFS(Certificates!$F$2:$F$200,Certificates!$G$2:$G$200,$A26,Certificates!$H$2:$H$200,$D$1,Certificates!$I$2:$I$200,7)</f>
        <v>0</v>
      </c>
      <c r="J26" s="14">
        <f>SUMIFS(Certificates!$F$2:$F$200,Certificates!$G$2:$G$200,$A26,Certificates!$H$2:$H$200,$D$1,Certificates!$I$2:$I$200,8)</f>
        <v>0</v>
      </c>
      <c r="K26" s="14">
        <f>SUMIFS(Certificates!$F$2:$F$200,Certificates!$G$2:$G$200,$A26,Certificates!$H$2:$H$200,$D$1,Certificates!$I$2:$I$200,9)</f>
        <v>263000</v>
      </c>
      <c r="L26" s="14">
        <f>SUMIFS(Certificates!$F$2:$F$200,Certificates!$G$2:$G$200,$A26,Certificates!$H$2:$H$200,$D$1,Certificates!$I$2:$I$200,10)</f>
        <v>0</v>
      </c>
      <c r="M26" s="14">
        <f>SUMIFS(Certificates!$F$2:$F$200,Certificates!$G$2:$G$200,$A26,Certificates!$H$2:$H$200,$D$1,Certificates!$I$2:$I$200,11)</f>
        <v>0</v>
      </c>
      <c r="N26" s="14">
        <f>SUMIFS(Certificates!$F$2:$F$200,Certificates!$G$2:$G$200,$A26,Certificates!$H$2:$H$200,$D$1,Certificates!$I$2:$I$200,12)</f>
        <v>181000</v>
      </c>
      <c r="O26" s="30">
        <f t="shared" si="13"/>
        <v>720000</v>
      </c>
    </row>
    <row r="27" ht="15.75" customHeight="1">
      <c r="A27" s="17" t="str">
        <f>Projects!A6</f>
        <v>P-05</v>
      </c>
      <c r="B27" s="13" t="s">
        <v>197</v>
      </c>
      <c r="C27" s="15">
        <f t="shared" ref="C27:O27" si="14">C26-C25</f>
        <v>-36000</v>
      </c>
      <c r="D27" s="15">
        <f t="shared" si="14"/>
        <v>-54000</v>
      </c>
      <c r="E27" s="15">
        <f t="shared" si="14"/>
        <v>-72000</v>
      </c>
      <c r="F27" s="15">
        <f t="shared" si="14"/>
        <v>-72000</v>
      </c>
      <c r="G27" s="15">
        <f t="shared" si="14"/>
        <v>-81000</v>
      </c>
      <c r="H27" s="15">
        <f t="shared" si="14"/>
        <v>195000</v>
      </c>
      <c r="I27" s="15">
        <f t="shared" si="14"/>
        <v>-72000</v>
      </c>
      <c r="J27" s="15">
        <f t="shared" si="14"/>
        <v>-72000</v>
      </c>
      <c r="K27" s="15">
        <f t="shared" si="14"/>
        <v>182000</v>
      </c>
      <c r="L27" s="15">
        <f t="shared" si="14"/>
        <v>-81000</v>
      </c>
      <c r="M27" s="15">
        <f t="shared" si="14"/>
        <v>-90000</v>
      </c>
      <c r="N27" s="15">
        <f t="shared" si="14"/>
        <v>73000</v>
      </c>
      <c r="O27" s="30">
        <f t="shared" si="14"/>
        <v>-180000</v>
      </c>
    </row>
    <row r="28" ht="15.75" customHeight="1">
      <c r="A28" s="17" t="str">
        <f>Projects!A6</f>
        <v>P-05</v>
      </c>
      <c r="B28" s="13" t="s">
        <v>202</v>
      </c>
      <c r="C28" s="16">
        <f t="shared" ref="C28:N28" si="15">IF(SUM($C25:C25)=0,0,SUM($C26:C26)/SUM($C25:C25))</f>
        <v>0</v>
      </c>
      <c r="D28" s="16">
        <f t="shared" si="15"/>
        <v>0</v>
      </c>
      <c r="E28" s="16">
        <f t="shared" si="15"/>
        <v>0</v>
      </c>
      <c r="F28" s="16">
        <f t="shared" si="15"/>
        <v>0</v>
      </c>
      <c r="G28" s="16">
        <f t="shared" si="15"/>
        <v>0</v>
      </c>
      <c r="H28" s="16">
        <f t="shared" si="15"/>
        <v>0.696969697</v>
      </c>
      <c r="I28" s="16">
        <f t="shared" si="15"/>
        <v>0.5897435897</v>
      </c>
      <c r="J28" s="16">
        <f t="shared" si="15"/>
        <v>0.5111111111</v>
      </c>
      <c r="K28" s="16">
        <f t="shared" si="15"/>
        <v>0.8679549114</v>
      </c>
      <c r="L28" s="16">
        <f t="shared" si="15"/>
        <v>0.7678062678</v>
      </c>
      <c r="M28" s="16">
        <f t="shared" si="15"/>
        <v>0.6805555556</v>
      </c>
      <c r="N28" s="16">
        <f t="shared" si="15"/>
        <v>0.8</v>
      </c>
      <c r="O28" s="31">
        <f>IF(O25=0,0,O26/O25)</f>
        <v>0.8</v>
      </c>
    </row>
    <row r="29" ht="15.75" customHeight="1"/>
    <row r="30" ht="15.75" customHeight="1">
      <c r="A30" s="21" t="s">
        <v>221</v>
      </c>
      <c r="B30" s="21" t="s">
        <v>162</v>
      </c>
      <c r="C30" s="23">
        <f t="shared" ref="C30:O30" si="16">C5+C10+C15+C20+C25</f>
        <v>276000</v>
      </c>
      <c r="D30" s="23">
        <f t="shared" si="16"/>
        <v>414000</v>
      </c>
      <c r="E30" s="23">
        <f t="shared" si="16"/>
        <v>552000</v>
      </c>
      <c r="F30" s="23">
        <f t="shared" si="16"/>
        <v>552000</v>
      </c>
      <c r="G30" s="23">
        <f t="shared" si="16"/>
        <v>621000</v>
      </c>
      <c r="H30" s="23">
        <f t="shared" si="16"/>
        <v>621000</v>
      </c>
      <c r="I30" s="23">
        <f t="shared" si="16"/>
        <v>552000</v>
      </c>
      <c r="J30" s="23">
        <f t="shared" si="16"/>
        <v>552000</v>
      </c>
      <c r="K30" s="23">
        <f t="shared" si="16"/>
        <v>621000</v>
      </c>
      <c r="L30" s="23">
        <f t="shared" si="16"/>
        <v>621000</v>
      </c>
      <c r="M30" s="23">
        <f t="shared" si="16"/>
        <v>690000</v>
      </c>
      <c r="N30" s="23">
        <f t="shared" si="16"/>
        <v>828000</v>
      </c>
      <c r="O30" s="23">
        <f t="shared" si="16"/>
        <v>6900000</v>
      </c>
    </row>
    <row r="31" ht="15.75" customHeight="1">
      <c r="A31" s="21" t="s">
        <v>221</v>
      </c>
      <c r="B31" s="21" t="s">
        <v>181</v>
      </c>
      <c r="C31" s="23">
        <f t="shared" ref="C31:O31" si="17">C6+C11+C16+C21+C26</f>
        <v>0</v>
      </c>
      <c r="D31" s="23">
        <f t="shared" si="17"/>
        <v>214000</v>
      </c>
      <c r="E31" s="23">
        <f t="shared" si="17"/>
        <v>390000</v>
      </c>
      <c r="F31" s="23">
        <f t="shared" si="17"/>
        <v>386000</v>
      </c>
      <c r="G31" s="23">
        <f t="shared" si="17"/>
        <v>503000</v>
      </c>
      <c r="H31" s="23">
        <f t="shared" si="17"/>
        <v>790000</v>
      </c>
      <c r="I31" s="23">
        <f t="shared" si="17"/>
        <v>505000</v>
      </c>
      <c r="J31" s="23">
        <f t="shared" si="17"/>
        <v>489000</v>
      </c>
      <c r="K31" s="23">
        <f t="shared" si="17"/>
        <v>760000</v>
      </c>
      <c r="L31" s="23">
        <f t="shared" si="17"/>
        <v>529000</v>
      </c>
      <c r="M31" s="23">
        <f t="shared" si="17"/>
        <v>504000</v>
      </c>
      <c r="N31" s="23">
        <f t="shared" si="17"/>
        <v>950000</v>
      </c>
      <c r="O31" s="23">
        <f t="shared" si="17"/>
        <v>6020000</v>
      </c>
    </row>
    <row r="32" ht="15.75" customHeight="1">
      <c r="A32" s="21" t="s">
        <v>221</v>
      </c>
      <c r="B32" s="21" t="s">
        <v>197</v>
      </c>
      <c r="C32" s="23">
        <f t="shared" ref="C32:O32" si="18">C31-C30</f>
        <v>-276000</v>
      </c>
      <c r="D32" s="23">
        <f t="shared" si="18"/>
        <v>-200000</v>
      </c>
      <c r="E32" s="23">
        <f t="shared" si="18"/>
        <v>-162000</v>
      </c>
      <c r="F32" s="23">
        <f t="shared" si="18"/>
        <v>-166000</v>
      </c>
      <c r="G32" s="23">
        <f t="shared" si="18"/>
        <v>-118000</v>
      </c>
      <c r="H32" s="23">
        <f t="shared" si="18"/>
        <v>169000</v>
      </c>
      <c r="I32" s="23">
        <f t="shared" si="18"/>
        <v>-47000</v>
      </c>
      <c r="J32" s="23">
        <f t="shared" si="18"/>
        <v>-63000</v>
      </c>
      <c r="K32" s="23">
        <f t="shared" si="18"/>
        <v>139000</v>
      </c>
      <c r="L32" s="23">
        <f t="shared" si="18"/>
        <v>-92000</v>
      </c>
      <c r="M32" s="23">
        <f t="shared" si="18"/>
        <v>-186000</v>
      </c>
      <c r="N32" s="23">
        <f t="shared" si="18"/>
        <v>122000</v>
      </c>
      <c r="O32" s="23">
        <f t="shared" si="18"/>
        <v>-880000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C7:O7">
    <cfRule type="cellIs" dxfId="1" priority="1" operator="lessThan">
      <formula>0</formula>
    </cfRule>
  </conditionalFormatting>
  <conditionalFormatting sqref="C12:O12">
    <cfRule type="cellIs" dxfId="1" priority="2" operator="lessThan">
      <formula>0</formula>
    </cfRule>
  </conditionalFormatting>
  <conditionalFormatting sqref="C17:O17">
    <cfRule type="cellIs" dxfId="1" priority="3" operator="lessThan">
      <formula>0</formula>
    </cfRule>
  </conditionalFormatting>
  <conditionalFormatting sqref="C22:O22">
    <cfRule type="cellIs" dxfId="1" priority="4" operator="lessThan">
      <formula>0</formula>
    </cfRule>
  </conditionalFormatting>
  <conditionalFormatting sqref="C27:O27">
    <cfRule type="cellIs" dxfId="1" priority="5" operator="lessThan">
      <formula>0</formula>
    </cfRule>
  </conditionalFormatting>
  <printOptions/>
  <pageMargins bottom="1.0" footer="0.0" header="0.0" left="0.75" right="0.75" top="1.0"/>
  <pageSetup paperSize="9" orientation="portrait"/>
  <drawing r:id="rId1"/>
</worksheet>
</file>